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30" windowWidth="13980" windowHeight="7305" firstSheet="1" activeTab="1"/>
  </bookViews>
  <sheets>
    <sheet name="Blad1" sheetId="4" state="hidden" r:id="rId1"/>
    <sheet name="Résultats" sheetId="3" r:id="rId2"/>
    <sheet name="Références" sheetId="5" r:id="rId3"/>
  </sheets>
  <definedNames>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test">#REF!</definedName>
  </definedNames>
  <calcPr calcId="125725"/>
</workbook>
</file>

<file path=xl/calcChain.xml><?xml version="1.0" encoding="utf-8"?>
<calcChain xmlns="http://schemas.openxmlformats.org/spreadsheetml/2006/main">
  <c r="E42" i="4"/>
  <c r="A42"/>
  <c r="A40" l="1"/>
  <c r="A54"/>
  <c r="F51" i="3"/>
  <c r="D51"/>
  <c r="F90"/>
  <c r="F70"/>
  <c r="F72"/>
  <c r="F71"/>
  <c r="F73"/>
  <c r="F74"/>
  <c r="F75"/>
  <c r="F76"/>
  <c r="F77"/>
  <c r="F69"/>
  <c r="D90"/>
  <c r="F25"/>
  <c r="F89" s="1"/>
  <c r="E1" i="4"/>
  <c r="G15"/>
  <c r="H15" s="1"/>
  <c r="G16"/>
  <c r="H16" s="1"/>
  <c r="F5"/>
  <c r="F6" s="1"/>
  <c r="F7" s="1"/>
  <c r="F8" s="1"/>
  <c r="F9" s="1"/>
  <c r="F10" s="1"/>
  <c r="F11" s="1"/>
  <c r="F12" s="1"/>
  <c r="F13" s="1"/>
  <c r="F14" s="1"/>
  <c r="F15" s="1"/>
  <c r="F16" s="1"/>
  <c r="D73" i="3"/>
  <c r="G9" i="4" s="1"/>
  <c r="D25" i="3"/>
  <c r="A56" i="4" s="1"/>
  <c r="D69" i="3"/>
  <c r="G5" i="4" s="1"/>
  <c r="D70" i="3"/>
  <c r="G6" i="4" s="1"/>
  <c r="D71" i="3"/>
  <c r="G7" i="4" s="1"/>
  <c r="D72" i="3"/>
  <c r="G8" i="4" s="1"/>
  <c r="D74" i="3"/>
  <c r="G10" i="4" s="1"/>
  <c r="D75" i="3"/>
  <c r="G11" i="4" s="1"/>
  <c r="D76" i="3"/>
  <c r="G12" i="4" s="1"/>
  <c r="D77" i="3"/>
  <c r="G13" i="4" s="1"/>
  <c r="B5"/>
  <c r="C5"/>
  <c r="D5"/>
  <c r="E5"/>
  <c r="B6"/>
  <c r="C6"/>
  <c r="D6"/>
  <c r="E6"/>
  <c r="B7"/>
  <c r="C7"/>
  <c r="D7"/>
  <c r="E7"/>
  <c r="B8"/>
  <c r="C8"/>
  <c r="D8"/>
  <c r="E8"/>
  <c r="B9"/>
  <c r="C9"/>
  <c r="D9"/>
  <c r="E9"/>
  <c r="B10"/>
  <c r="C10"/>
  <c r="D10"/>
  <c r="E10"/>
  <c r="B11"/>
  <c r="C11"/>
  <c r="D11"/>
  <c r="E11"/>
  <c r="B12"/>
  <c r="C12"/>
  <c r="D12"/>
  <c r="E12"/>
  <c r="B13"/>
  <c r="C13"/>
  <c r="D13"/>
  <c r="E13"/>
  <c r="B14"/>
  <c r="C14"/>
  <c r="D14"/>
  <c r="E14"/>
  <c r="B15"/>
  <c r="C15"/>
  <c r="D15"/>
  <c r="E15"/>
  <c r="B16"/>
  <c r="C16"/>
  <c r="D16"/>
  <c r="E16"/>
  <c r="F78" i="3" l="1"/>
  <c r="E41" i="4"/>
  <c r="F96" i="3" s="1"/>
  <c r="A41" i="4"/>
  <c r="D78" i="3"/>
  <c r="G14" i="4" s="1"/>
  <c r="H14" s="1"/>
  <c r="F97" i="3"/>
  <c r="D89"/>
  <c r="F53"/>
  <c r="E43" i="4" s="1"/>
  <c r="F98" i="3" s="1"/>
  <c r="E46" i="4"/>
  <c r="F101" i="3" s="1"/>
  <c r="C96"/>
  <c r="A25" i="4"/>
  <c r="D35" i="3"/>
  <c r="C97"/>
  <c r="D53"/>
  <c r="C55" i="4" s="1"/>
  <c r="D33" i="3"/>
  <c r="A43" i="4"/>
  <c r="C98" i="3" s="1"/>
  <c r="F32"/>
  <c r="F34"/>
  <c r="E40" i="4" s="1"/>
  <c r="F95" i="3" s="1"/>
  <c r="F42"/>
  <c r="F43" s="1"/>
  <c r="F45"/>
  <c r="F31"/>
  <c r="F33"/>
  <c r="F35"/>
  <c r="F34" i="4"/>
  <c r="A57"/>
  <c r="F38"/>
  <c r="F36"/>
  <c r="F32"/>
  <c r="D45" i="3"/>
  <c r="D42"/>
  <c r="D43" s="1"/>
  <c r="D34"/>
  <c r="D32"/>
  <c r="D31"/>
  <c r="C54" i="4"/>
  <c r="F30"/>
  <c r="F37"/>
  <c r="F35"/>
  <c r="F33"/>
  <c r="F31"/>
  <c r="H10"/>
  <c r="H7"/>
  <c r="H5"/>
  <c r="H9"/>
  <c r="H13"/>
  <c r="H11"/>
  <c r="H8"/>
  <c r="H6"/>
  <c r="H12"/>
  <c r="G18" l="1"/>
  <c r="D54"/>
  <c r="A55"/>
  <c r="D55" s="1"/>
  <c r="C41"/>
  <c r="G41"/>
  <c r="C42"/>
  <c r="G42"/>
  <c r="E45"/>
  <c r="F100" i="3" s="1"/>
  <c r="E44" i="4"/>
  <c r="F99" i="3" s="1"/>
  <c r="C43" i="4"/>
  <c r="G43"/>
  <c r="D36" i="3"/>
  <c r="C95"/>
  <c r="A49" i="4" s="1"/>
  <c r="F36" i="3"/>
  <c r="C57" i="4"/>
  <c r="D57" s="1"/>
  <c r="A44"/>
  <c r="C99" i="3" s="1"/>
  <c r="C56" i="4"/>
  <c r="D56" s="1"/>
  <c r="A45"/>
  <c r="C100" i="3" s="1"/>
  <c r="A58" i="4"/>
  <c r="C58"/>
  <c r="A46"/>
  <c r="C101" i="3" s="1"/>
  <c r="C53" i="4"/>
  <c r="H18"/>
  <c r="F39"/>
  <c r="E49" l="1"/>
  <c r="F104" i="3" s="1"/>
  <c r="C45" i="4"/>
  <c r="G45"/>
  <c r="C44"/>
  <c r="G44"/>
  <c r="C46"/>
  <c r="G46"/>
  <c r="G40"/>
  <c r="E47"/>
  <c r="A53"/>
  <c r="A59" s="1"/>
  <c r="A60" s="1"/>
  <c r="C40"/>
  <c r="C104" i="3"/>
  <c r="C59" i="4"/>
  <c r="C60" s="1"/>
  <c r="A47"/>
  <c r="C102" i="3" s="1"/>
  <c r="D58" i="4"/>
  <c r="G39"/>
  <c r="C47" l="1"/>
  <c r="G47"/>
  <c r="E48"/>
  <c r="F103" i="3" s="1"/>
  <c r="F102"/>
  <c r="D60" i="4"/>
  <c r="D53"/>
  <c r="D59" s="1"/>
  <c r="E59" s="1"/>
  <c r="A48"/>
  <c r="C103" i="3" s="1"/>
  <c r="C48" i="4" l="1"/>
  <c r="G48"/>
</calcChain>
</file>

<file path=xl/comments1.xml><?xml version="1.0" encoding="utf-8"?>
<comments xmlns="http://schemas.openxmlformats.org/spreadsheetml/2006/main">
  <authors>
    <author>poirierh</author>
    <author>Medewerker Diergeneeskunde</author>
  </authors>
  <commentList>
    <comment ref="E23" authorId="0">
      <text>
        <r>
          <rPr>
            <sz val="10"/>
            <color indexed="81"/>
            <rFont val="Tahoma"/>
            <family val="2"/>
          </rPr>
          <t>Par défaut, on utilise la taille moyenne des troupeaux de l'échantillon de fermes provenant de la Cohorte des fermes laitières du RCRMB.</t>
        </r>
      </text>
    </comment>
    <comment ref="G23" authorId="1">
      <text>
        <r>
          <rPr>
            <sz val="10"/>
            <color indexed="81"/>
            <rFont val="Tahoma"/>
            <family val="2"/>
          </rPr>
          <t xml:space="preserve">Taille moyenne des troupeaux laitiers canadiens,
déc. 2009
</t>
        </r>
        <r>
          <rPr>
            <i/>
            <sz val="10"/>
            <color indexed="81"/>
            <rFont val="Tahoma"/>
            <family val="2"/>
          </rPr>
          <t xml:space="preserve">Sources : Agences canadiennes de contrôle laitier , Valacta et Canwest DHI </t>
        </r>
      </text>
    </comment>
    <comment ref="E24" authorId="0">
      <text>
        <r>
          <rPr>
            <sz val="9"/>
            <color indexed="81"/>
            <rFont val="Tahoma"/>
            <family val="2"/>
          </rPr>
          <t>Par défaut, on utilise la moyenne de production de lait (305 jrs) des vaches de l'échantillon de fermes de la Cohorte des fermes laitières du RCRMB.</t>
        </r>
      </text>
    </comment>
    <comment ref="G24" authorId="1">
      <text>
        <r>
          <rPr>
            <sz val="10"/>
            <color indexed="81"/>
            <rFont val="Tahoma"/>
            <family val="2"/>
          </rPr>
          <t xml:space="preserve">Moyenne canadienne pour la  production de lait sur 305 jours (basée sur 577 049 lactations complétées en 2009)
</t>
        </r>
        <r>
          <rPr>
            <i/>
            <sz val="10"/>
            <color indexed="81"/>
            <rFont val="Tahoma"/>
            <family val="2"/>
          </rPr>
          <t xml:space="preserve">Sources : Agences canadiennes de contrôle laitier , Valacta et Canwest DHI </t>
        </r>
        <r>
          <rPr>
            <sz val="10"/>
            <color indexed="81"/>
            <rFont val="Tahoma"/>
            <family val="2"/>
          </rPr>
          <t xml:space="preserve">
</t>
        </r>
      </text>
    </comment>
    <comment ref="E25" authorId="1">
      <text>
        <r>
          <rPr>
            <sz val="10"/>
            <color indexed="81"/>
            <rFont val="Tahoma"/>
            <family val="2"/>
          </rPr>
          <t>Par défaut, on assume que 23% des vaches auront un épisode de mammite clinique au cours de l'année  Le nombre de vaches est donc multiplié par 0,23. Pour un troupeau de 70 vaches cela représente 16 vaches.</t>
        </r>
      </text>
    </comment>
    <comment ref="E31" authorId="1">
      <text>
        <r>
          <rPr>
            <sz val="8"/>
            <color indexed="81"/>
            <rFont val="Tahoma"/>
            <family val="2"/>
          </rPr>
          <t xml:space="preserve">
</t>
        </r>
        <r>
          <rPr>
            <sz val="9"/>
            <color indexed="81"/>
            <rFont val="Tahoma"/>
            <family val="2"/>
          </rPr>
          <t xml:space="preserve">Par défaut, nous assumons que 6% des cas cliniques sont causés par </t>
        </r>
        <r>
          <rPr>
            <i/>
            <sz val="9"/>
            <color indexed="81"/>
            <rFont val="Tahoma"/>
            <family val="2"/>
          </rPr>
          <t>Streptococcus uberis</t>
        </r>
        <r>
          <rPr>
            <sz val="9"/>
            <color indexed="81"/>
            <rFont val="Tahoma"/>
            <family val="2"/>
          </rPr>
          <t>. Cela signifie 1 cas de SUB pour 16 cas de mammite clinique au total.</t>
        </r>
      </text>
    </comment>
    <comment ref="E32" authorId="1">
      <text>
        <r>
          <rPr>
            <sz val="8"/>
            <color indexed="81"/>
            <rFont val="Tahoma"/>
            <family val="2"/>
          </rPr>
          <t xml:space="preserve">
</t>
        </r>
        <r>
          <rPr>
            <sz val="9"/>
            <color indexed="81"/>
            <rFont val="Tahoma"/>
            <family val="2"/>
          </rPr>
          <t>Par défaut, nous assumons que 5% des cas cliniques sont causés par SCN. Cela signifie 1 cas de SCN pour 16 cas de mammite clinique au total.</t>
        </r>
      </text>
    </comment>
    <comment ref="E33" authorId="1">
      <text>
        <r>
          <rPr>
            <sz val="10"/>
            <color indexed="81"/>
            <rFont val="Tahoma"/>
            <family val="2"/>
          </rPr>
          <t xml:space="preserve">
Par défaut, nous assumons que 4% des cas cliniques sont causés par </t>
        </r>
        <r>
          <rPr>
            <i/>
            <sz val="10"/>
            <color indexed="81"/>
            <rFont val="Tahoma"/>
            <family val="2"/>
          </rPr>
          <t>Streptococcus dysgalactiae.</t>
        </r>
        <r>
          <rPr>
            <sz val="10"/>
            <color indexed="81"/>
            <rFont val="Tahoma"/>
            <family val="2"/>
          </rPr>
          <t xml:space="preserve"> Cela signifie 1 cas de SDY pour 16 cas de mammite clinique au total.</t>
        </r>
      </text>
    </comment>
    <comment ref="E34" authorId="1">
      <text>
        <r>
          <rPr>
            <sz val="10"/>
            <color indexed="81"/>
            <rFont val="Tahoma"/>
            <family val="2"/>
          </rPr>
          <t xml:space="preserve">Par défaut, nous assumons que 10% des cas cliniques sont causés par </t>
        </r>
        <r>
          <rPr>
            <i/>
            <sz val="10"/>
            <color indexed="81"/>
            <rFont val="Tahoma"/>
            <family val="2"/>
          </rPr>
          <t>Staphylococcus aureus</t>
        </r>
        <r>
          <rPr>
            <sz val="10"/>
            <color indexed="81"/>
            <rFont val="Tahoma"/>
            <family val="2"/>
          </rPr>
          <t>. Cela signifie 2 cas de SAU pour 16 cas de mammite clinique au total.</t>
        </r>
      </text>
    </comment>
    <comment ref="E35" authorId="1">
      <text>
        <r>
          <rPr>
            <sz val="10"/>
            <color indexed="81"/>
            <rFont val="Tahoma"/>
            <family val="2"/>
          </rPr>
          <t xml:space="preserve">
Par défaut, nous assumons que 8% des cas cliniques sont causés par </t>
        </r>
        <r>
          <rPr>
            <i/>
            <sz val="10"/>
            <color indexed="81"/>
            <rFont val="Tahoma"/>
            <family val="2"/>
          </rPr>
          <t>E.coli</t>
        </r>
        <r>
          <rPr>
            <sz val="10"/>
            <color indexed="81"/>
            <rFont val="Tahoma"/>
            <family val="2"/>
          </rPr>
          <t>. Cela signifie 1 cas de ECO pour 16 cas de mammite clinique au total.</t>
        </r>
      </text>
    </comment>
    <comment ref="E36" authorId="1">
      <text>
        <r>
          <rPr>
            <sz val="10"/>
            <color indexed="81"/>
            <rFont val="Tahoma"/>
            <family val="2"/>
          </rPr>
          <t xml:space="preserve">
Par défaut, nous assumons que 62% des cas cliniques sont causés par un AUTRE pathogène. Cela signifie 11 cas causés par AUTRE pour 16 cas de mammite clinique au total.</t>
        </r>
      </text>
    </comment>
    <comment ref="E42" authorId="1">
      <text>
        <r>
          <rPr>
            <sz val="10"/>
            <color indexed="81"/>
            <rFont val="Tahoma"/>
            <family val="2"/>
          </rPr>
          <t>Par défaut, 34% des cas cliniques apparaissent au cours des 3 premiers mois de lactation.</t>
        </r>
      </text>
    </comment>
    <comment ref="E43" authorId="1">
      <text>
        <r>
          <rPr>
            <sz val="10"/>
            <color indexed="81"/>
            <rFont val="Tahoma"/>
            <family val="2"/>
          </rPr>
          <t>Par défaut, 66% des cas cliniques apparaissent durant le reste de la lactation (c'est-à-dire après les 3 premiers mois).</t>
        </r>
      </text>
    </comment>
    <comment ref="E45" authorId="1">
      <text>
        <r>
          <rPr>
            <sz val="9"/>
            <color indexed="81"/>
            <rFont val="Tahoma"/>
            <family val="2"/>
          </rPr>
          <t>En moyenne, 77% des cas cliniques sont traités. Cela représente 12 traitements par 16 cas.</t>
        </r>
      </text>
    </comment>
    <comment ref="E46" authorId="1">
      <text>
        <r>
          <rPr>
            <sz val="10"/>
            <color indexed="81"/>
            <rFont val="Tahoma"/>
            <family val="2"/>
          </rPr>
          <t>Par défaut, on assume que 5% des pertes en production sont dues à la mammite clinique.</t>
        </r>
      </text>
    </comment>
    <comment ref="E47" authorId="1">
      <text>
        <r>
          <rPr>
            <sz val="10"/>
            <color indexed="81"/>
            <rFont val="Tahoma"/>
            <family val="2"/>
          </rPr>
          <t xml:space="preserve">Indiquez la valeur nette du lait ($/kg).
On estime que la valeur nette= valeur du lait (0,75$) - frais transport et mise en marché (0,05$/kg) - intérêts quota (0,10$/kg). Les coûts d'alimentation sont considérés à la ligne suivante.
</t>
        </r>
        <r>
          <rPr>
            <i/>
            <sz val="10"/>
            <color indexed="81"/>
            <rFont val="Tahoma"/>
            <family val="2"/>
          </rPr>
          <t>Source: La Santé du pis, une valeur sûre, formation offerte par AMVPQ/Valacta hiver 2010</t>
        </r>
        <r>
          <rPr>
            <sz val="10"/>
            <color indexed="81"/>
            <rFont val="Tahoma"/>
            <family val="2"/>
          </rPr>
          <t xml:space="preserve">
</t>
        </r>
      </text>
    </comment>
    <comment ref="E52" authorId="1">
      <text>
        <r>
          <rPr>
            <sz val="10"/>
            <color indexed="81"/>
            <rFont val="Tahoma"/>
            <family val="2"/>
          </rPr>
          <t xml:space="preserve">Les vaches atteintes de mammite clinique produisent moins de lait et par conséquent, consomment moins de concentrés. Cette valeur est donc utilisée pour corriger l'énergie nécessaire à la production d'un litre supplémentaire de lait. </t>
        </r>
      </text>
    </comment>
    <comment ref="E53" authorId="1">
      <text>
        <r>
          <rPr>
            <sz val="10"/>
            <color indexed="81"/>
            <rFont val="Tahoma"/>
            <family val="2"/>
          </rPr>
          <t>En moyenne, le vétérinaire est consulté dans 4% des cas cliniques. Le vétérinaire effectuera une visite par 16 cas cliniques.</t>
        </r>
      </text>
    </comment>
    <comment ref="E54" authorId="1">
      <text>
        <r>
          <rPr>
            <sz val="10"/>
            <color indexed="81"/>
            <rFont val="Tahoma"/>
            <family val="2"/>
          </rPr>
          <t>Ceci est le coût uniquement de la visite du vétérinaire pour un cas clinique. Ce coût exclut le coût des médicaments et le coût du matériel. En moyenne, on assume le coût d'une visite à 98$.</t>
        </r>
      </text>
    </comment>
    <comment ref="E55" authorId="1">
      <text>
        <r>
          <rPr>
            <sz val="10"/>
            <color indexed="81"/>
            <rFont val="Tahoma"/>
            <family val="2"/>
          </rPr>
          <t>C'est le temps consacré par le producteur pour traiter un cas clinique. En moyenne, on assume 63 minutes par cas clinique.</t>
        </r>
        <r>
          <rPr>
            <sz val="8"/>
            <color indexed="81"/>
            <rFont val="Tahoma"/>
            <family val="2"/>
          </rPr>
          <t xml:space="preserve">
</t>
        </r>
      </text>
    </comment>
    <comment ref="E56" authorId="1">
      <text>
        <r>
          <rPr>
            <sz val="10"/>
            <color indexed="81"/>
            <rFont val="Tahoma"/>
            <family val="2"/>
          </rPr>
          <t>Ceci est uniquement le coûts des médicaments. Il y a beaucoup de variation selon le type de traitement, mais cela représente une moyenne de 144$.</t>
        </r>
      </text>
    </comment>
    <comment ref="E57" authorId="1">
      <text>
        <r>
          <rPr>
            <sz val="10"/>
            <color indexed="81"/>
            <rFont val="Tahoma"/>
            <family val="2"/>
          </rPr>
          <t>En moyenne, on compte 7 jours.</t>
        </r>
        <r>
          <rPr>
            <sz val="8"/>
            <color indexed="81"/>
            <rFont val="Tahoma"/>
            <family val="2"/>
          </rPr>
          <t xml:space="preserve">
</t>
        </r>
      </text>
    </comment>
    <comment ref="E58" authorId="1">
      <text>
        <r>
          <rPr>
            <sz val="10"/>
            <color indexed="81"/>
            <rFont val="Tahoma"/>
            <family val="2"/>
          </rPr>
          <t>Ceci est la valeur du travail du producteur. En moyenne, on assume 16$/heure.</t>
        </r>
      </text>
    </comment>
    <comment ref="E62" authorId="1">
      <text>
        <r>
          <rPr>
            <sz val="10"/>
            <color indexed="81"/>
            <rFont val="Tahoma"/>
            <family val="2"/>
          </rPr>
          <t>SVP indiquez le comptage moyen de cellules somatiques du lait du réservoir de la dernière année.</t>
        </r>
      </text>
    </comment>
    <comment ref="G62" authorId="1">
      <text>
        <r>
          <rPr>
            <sz val="10"/>
            <color indexed="81"/>
            <rFont val="Tahoma"/>
            <family val="2"/>
          </rPr>
          <t xml:space="preserve">Moyenne canadienne pour les CCS moyens pour la lactation (basée sur 514 982 lactations complétées en 2009)
</t>
        </r>
        <r>
          <rPr>
            <i/>
            <sz val="10"/>
            <color indexed="81"/>
            <rFont val="Tahoma"/>
            <family val="2"/>
          </rPr>
          <t xml:space="preserve">Sources : Agences canadiennes de contrôle laitier , Valacta et Canwest DHI </t>
        </r>
        <r>
          <rPr>
            <sz val="10"/>
            <color indexed="81"/>
            <rFont val="Tahoma"/>
            <family val="2"/>
          </rPr>
          <t xml:space="preserve">
</t>
        </r>
      </text>
    </comment>
    <comment ref="E81" authorId="1">
      <text>
        <r>
          <rPr>
            <sz val="10"/>
            <color indexed="81"/>
            <rFont val="Tahoma"/>
            <family val="2"/>
          </rPr>
          <t>La plupart des cas de mammite subclinique ne sont pas traités. Si vous les traitez, inscrivez ici le nombre de traitements par année.</t>
        </r>
      </text>
    </comment>
    <comment ref="E82" authorId="1">
      <text>
        <r>
          <rPr>
            <sz val="10"/>
            <color indexed="81"/>
            <rFont val="Tahoma"/>
            <family val="2"/>
          </rPr>
          <t>Quand les cas subcliniques sont traités, la plupart du temps, ils le sont pas les producteurs. Si un vétérinaire est consulté, indiquez le nombre de visites du vétérinaire pour traiter les cas subcliniques au cours de l'année.</t>
        </r>
      </text>
    </comment>
    <comment ref="E83" authorId="1">
      <text>
        <r>
          <rPr>
            <sz val="10"/>
            <color indexed="81"/>
            <rFont val="Tahoma"/>
            <family val="2"/>
          </rPr>
          <t>Ceci est le coût uniquement de la visite du vétérinaire pour un cas de mammite subclinique et exclut les médicaments et autre matériel. En moyenne, on compte 98$.</t>
        </r>
        <r>
          <rPr>
            <sz val="8"/>
            <color indexed="81"/>
            <rFont val="Tahoma"/>
            <family val="2"/>
          </rPr>
          <t xml:space="preserve">
</t>
        </r>
      </text>
    </comment>
    <comment ref="E84" authorId="1">
      <text>
        <r>
          <rPr>
            <sz val="10"/>
            <color indexed="81"/>
            <rFont val="Tahoma"/>
            <family val="2"/>
          </rPr>
          <t>C'est le temps consacré au traitement d'un cas de mammite subclinique par le producteur. En moyenne, on compte 48 minutes par cas subclinique.</t>
        </r>
      </text>
    </comment>
    <comment ref="E85" authorId="1">
      <text>
        <r>
          <rPr>
            <sz val="10"/>
            <color indexed="81"/>
            <rFont val="Tahoma"/>
            <family val="2"/>
          </rPr>
          <t>Ce coût est uniquement pour les médicaments. Il y a beaucoup de variation selon le type de traitement, mais cela indique une moyenne. Par défaut, la moyenne est à 65$.</t>
        </r>
      </text>
    </comment>
    <comment ref="E86" authorId="1">
      <text>
        <r>
          <rPr>
            <sz val="10"/>
            <color indexed="81"/>
            <rFont val="Tahoma"/>
            <family val="2"/>
          </rPr>
          <t>En moyenne, on compte 7 jours.</t>
        </r>
      </text>
    </comment>
    <comment ref="E89" authorId="1">
      <text>
        <r>
          <rPr>
            <sz val="10"/>
            <color indexed="81"/>
            <rFont val="Tahoma"/>
            <family val="2"/>
          </rPr>
          <t>Bien entendu, plusieurs raisons mènent à la décision de réformer une vache. Indiquez ici le nombre d'animaux réformés pour cause de mammite. En moyenne, on assume que cela est autour de 30% des cas cliniques (5 animaux réformés pour 16 cas cliniques) et ne pas oublier d'ajouter le nombre d'animaux réformés pour cause de mammite subclinique.</t>
        </r>
      </text>
    </comment>
    <comment ref="E90" authorId="1">
      <text>
        <r>
          <rPr>
            <sz val="10"/>
            <color indexed="81"/>
            <rFont val="Tahoma"/>
            <family val="2"/>
          </rPr>
          <t xml:space="preserve">Indiquez le coût moyen de réforme par vache réformée. C'est le coût de remplacement de l'animal (coûts pour une taure de remplacement moins la valeur à l'abattoir). En moyenne les coûts de réforme sont 2500$-500$=2000$, dépendant de la valeur de l'animal réformé et le coût d'une taure de remplacement.
</t>
        </r>
        <r>
          <rPr>
            <i/>
            <sz val="10"/>
            <color indexed="81"/>
            <rFont val="Tahoma"/>
            <family val="2"/>
          </rPr>
          <t>Source : Valacta</t>
        </r>
      </text>
    </comment>
  </commentList>
</comments>
</file>

<file path=xl/sharedStrings.xml><?xml version="1.0" encoding="utf-8"?>
<sst xmlns="http://schemas.openxmlformats.org/spreadsheetml/2006/main" count="168" uniqueCount="125">
  <si>
    <t>?</t>
  </si>
  <si>
    <t>BTSCC</t>
  </si>
  <si>
    <t>&lt;100</t>
  </si>
  <si>
    <t>&gt;=100 &lt;200</t>
  </si>
  <si>
    <t>200-250</t>
  </si>
  <si>
    <t>&gt;=250 &lt;400</t>
  </si>
  <si>
    <t>&gt;=400</t>
  </si>
  <si>
    <t>aantal dagen verhoogd</t>
  </si>
  <si>
    <t>SCC</t>
  </si>
  <si>
    <t>lnSCC</t>
  </si>
  <si>
    <t>kg/day</t>
  </si>
  <si>
    <t>total</t>
  </si>
  <si>
    <t>koers</t>
  </si>
  <si>
    <t xml:space="preserve">Cet outil a été développé dans le cadre du projet  «Coûts de la mammite et efficacité des pratiques de gestion» </t>
  </si>
  <si>
    <t>Votre valeur</t>
  </si>
  <si>
    <t>Nombre de vaches</t>
  </si>
  <si>
    <t>Production moyenne sur 305 jours (kg)</t>
  </si>
  <si>
    <t>Nombre de cas cliniques de mammite par année</t>
  </si>
  <si>
    <t>Au cours des 3 premiers mois</t>
  </si>
  <si>
    <t>Au cours du reste de la lactation</t>
  </si>
  <si>
    <t>Honoraires vétérinaires ($/cas clinique, excluant médicaments)</t>
  </si>
  <si>
    <t>Temps de traitement par le producteur (minutes/cas clinique)</t>
  </si>
  <si>
    <t>Coûts des médicaments ($/cas clinique)</t>
  </si>
  <si>
    <t>Valeur de la main-d'œuvre ($/heure)</t>
  </si>
  <si>
    <t>Information générale et sur les cas cliniques</t>
  </si>
  <si>
    <t>Information sur la mammite subclinique (comptage des cellules somatiques)</t>
  </si>
  <si>
    <t>CCS moyen du réservoir  (*1000 cellules/ml)</t>
  </si>
  <si>
    <t>Nombre de traitements pour des cas subcliniques</t>
  </si>
  <si>
    <t>Nombre de traitements pour des cas cliniques</t>
  </si>
  <si>
    <t>Nombre de visites du médecin vétérinaire pour des cas cliniques</t>
  </si>
  <si>
    <t>Nombre de visites du médecin vétérinaire pour cas subcliniques</t>
  </si>
  <si>
    <t>Honoraires vétérinaires (excluant médicaments) ($/cas)</t>
  </si>
  <si>
    <t>Temps de traitement par le producteur (minutes/cas subclinique)</t>
  </si>
  <si>
    <t>Coûts des médicaments ($/cas)</t>
  </si>
  <si>
    <t>Délai d'attente (traitement et période de retrait du lait) (jours)</t>
  </si>
  <si>
    <t>Réforme</t>
  </si>
  <si>
    <t>Animaux réformés pour cause de mammite (nbre vaches/an)</t>
  </si>
  <si>
    <t>Coûts de réforme ($/cas réformé)</t>
  </si>
  <si>
    <t>Coûts de la mammite sur votre ferme</t>
  </si>
  <si>
    <t>Chute de production due au cas cliniques (%)</t>
  </si>
  <si>
    <t>Pertes de production - clinique ($/an)</t>
  </si>
  <si>
    <t>Pertes de production - subclinique ($/an)</t>
  </si>
  <si>
    <t>Retrait de lait ($/an)</t>
  </si>
  <si>
    <t>Honoraires vétérinaires ($/an)</t>
  </si>
  <si>
    <t>Médicaments ($/an)</t>
  </si>
  <si>
    <t>Main-d'oeuvre ($/an)</t>
  </si>
  <si>
    <t>Réforme ($/an)</t>
  </si>
  <si>
    <t>Coût par cas clinique</t>
  </si>
  <si>
    <t>Coût total de la mammite / an</t>
  </si>
  <si>
    <t>Autre</t>
  </si>
  <si>
    <t>Strep UBERIS</t>
  </si>
  <si>
    <t>Step DYSGAL</t>
  </si>
  <si>
    <t>Staph AUREUS</t>
  </si>
  <si>
    <t>E. COLI</t>
  </si>
  <si>
    <t>Nbre de vaches avec CCS  100 -150</t>
  </si>
  <si>
    <t>Nbre de vaches avec CCS  250 - 300</t>
  </si>
  <si>
    <t>Nbre de vaches avec CCS  200 - 250</t>
  </si>
  <si>
    <t>Nbre de vaches avec CCS  50 -100</t>
  </si>
  <si>
    <t>Nbre de vaches avec CCS &lt;= 50</t>
  </si>
  <si>
    <t>Nbre de vaches avec CCS  300 - 350</t>
  </si>
  <si>
    <t>Nbre de vaches avec CCS  350 - 400</t>
  </si>
  <si>
    <t>Nbre de vaches avec CCS  &gt; 400</t>
  </si>
  <si>
    <t>Coût moyen par vache / an</t>
  </si>
  <si>
    <t>SCN</t>
  </si>
  <si>
    <t>Information sur la mammite subclinique (traitement)</t>
  </si>
  <si>
    <t>La précision des valeurs fournies par l'utilisateur influence l'exactitude des résultats calculés.</t>
  </si>
  <si>
    <t>Coût marginal d'alimentation ($/kg)</t>
  </si>
  <si>
    <t>d'un échantillon de fermes canadiennes de la Cohorte des fermes laitières du RCRMB.</t>
  </si>
  <si>
    <t xml:space="preserve">* La collecte des données pour le calcul des valeurs par défaut a été faite par l'Université d'Utrecht à partir </t>
  </si>
  <si>
    <t>Renke module</t>
  </si>
  <si>
    <t>d25</t>
  </si>
  <si>
    <t>d6..</t>
  </si>
  <si>
    <t>kg perdus</t>
  </si>
  <si>
    <t>retraits</t>
  </si>
  <si>
    <t>traitements</t>
  </si>
  <si>
    <t>écart</t>
  </si>
  <si>
    <t>ancienne formule cell A49</t>
  </si>
  <si>
    <t>mammite subclinique</t>
  </si>
  <si>
    <t xml:space="preserve">Si vous avez l'information en mains, divisez les cas cliniques selon les différentes bactéries </t>
  </si>
  <si>
    <t xml:space="preserve">En indiquant les valeurs spécifiques à votre ferme, vous pouvez calculer les coûts de la mammite pour votre entreprise.     </t>
  </si>
  <si>
    <t xml:space="preserve">causant la mammite et indiquez leur nombre ci-dessous. Si vous ne faites pas de modifications, le calcul sera </t>
  </si>
  <si>
    <t xml:space="preserve">Les cas cliniques apparaissent à différents moments au cours de la lactation. En moyenne, il y a davantage de </t>
  </si>
  <si>
    <t>cas qui apparaissent au cours des trois premiers mois de la lactation que durant les mois suivants. La distribution</t>
  </si>
  <si>
    <t>moyenne des cas est indiquée ci-bas, mais vous pouvez l'adapter à la situation de votre ferme.</t>
  </si>
  <si>
    <t xml:space="preserve">Autrement, une distribution moyenne calculée à partir du CCS moyen du réservoir, que vous avez fourni </t>
  </si>
  <si>
    <t>précédemment, sera utilisée pour le calcul (voir ci-bas).</t>
  </si>
  <si>
    <t xml:space="preserve">Si vous avez des données précises sur le CCS individuel des vaches de votre troupeau, indiquez-les ci-dessous. </t>
  </si>
  <si>
    <t>Moyenne canadienne</t>
  </si>
  <si>
    <t>pour le Canada</t>
  </si>
  <si>
    <t xml:space="preserve">    OUTIL de CALCUL des COÛTS liés à la MAMMITE </t>
  </si>
  <si>
    <t>L'adaptation canadienne a été réalisée par l'Université d'Utrecht, en collaboration avec le RCRMB et Valacta.</t>
  </si>
  <si>
    <t>Chercheure : Kirsten Huijps, Université d'Utrecht</t>
  </si>
  <si>
    <t>Directeur de projet : Henk Hogeveen , University d'Utrecht</t>
  </si>
  <si>
    <r>
      <t xml:space="preserve">MISE EN GARDE </t>
    </r>
    <r>
      <rPr>
        <sz val="12"/>
        <color rgb="FF002060"/>
        <rFont val="Arial"/>
        <family val="2"/>
      </rPr>
      <t>: Cet outil ne fournit qu'une approximation des coûts réels en dollars canadiens.</t>
    </r>
  </si>
  <si>
    <t>Vous pouvez obtenir de l'information additionnelle sur une valeur par défaut en cliquant sur le « ? »</t>
  </si>
  <si>
    <r>
      <t>mené par le Centre hollandais sur la santé du pis (</t>
    </r>
    <r>
      <rPr>
        <i/>
        <sz val="10"/>
        <rFont val="Arial"/>
        <family val="2"/>
      </rPr>
      <t>UGCN</t>
    </r>
    <r>
      <rPr>
        <sz val="10"/>
        <rFont val="Arial"/>
        <family val="2"/>
      </rPr>
      <t xml:space="preserve">) et soutenu financièrement par le </t>
    </r>
    <r>
      <rPr>
        <i/>
        <sz val="10"/>
        <rFont val="Arial"/>
        <family val="2"/>
      </rPr>
      <t>Dutch Dairy Board</t>
    </r>
    <r>
      <rPr>
        <sz val="10"/>
        <rFont val="Arial"/>
        <family val="2"/>
      </rPr>
      <t>.</t>
    </r>
  </si>
  <si>
    <r>
      <t xml:space="preserve">effectué à partir des valeurs moyennes affichées </t>
    </r>
    <r>
      <rPr>
        <sz val="9"/>
        <rFont val="Arial"/>
        <family val="2"/>
      </rPr>
      <t>(Cliquez sur le «</t>
    </r>
    <r>
      <rPr>
        <b/>
        <sz val="9"/>
        <rFont val="Arial"/>
        <family val="2"/>
      </rPr>
      <t>?</t>
    </r>
    <r>
      <rPr>
        <sz val="9"/>
        <rFont val="Arial"/>
        <family val="2"/>
      </rPr>
      <t>»</t>
    </r>
    <r>
      <rPr>
        <b/>
        <sz val="9"/>
        <rFont val="Arial"/>
        <family val="2"/>
      </rPr>
      <t xml:space="preserve"> </t>
    </r>
    <r>
      <rPr>
        <sz val="9"/>
        <rFont val="Arial"/>
        <family val="2"/>
      </rPr>
      <t>pour afficher le calcul de la valeur par défaut.)</t>
    </r>
  </si>
  <si>
    <r>
      <t xml:space="preserve">     Si vous n'avez pas l'information spécifique, les valeurs par défaut</t>
    </r>
    <r>
      <rPr>
        <b/>
        <sz val="12"/>
        <rFont val="Arial"/>
        <family val="2"/>
      </rPr>
      <t>*</t>
    </r>
    <r>
      <rPr>
        <b/>
        <sz val="10"/>
        <rFont val="Arial"/>
        <family val="2"/>
      </rPr>
      <t xml:space="preserve"> affichées seront utilisées pour le calcul.</t>
    </r>
  </si>
  <si>
    <t>Nbre de vaches avec CCS  150 - 200</t>
  </si>
  <si>
    <t>réforme</t>
  </si>
  <si>
    <t>main d'œuvre</t>
  </si>
  <si>
    <t>vétérinaire</t>
  </si>
  <si>
    <t>perte prod lait</t>
  </si>
  <si>
    <t>Prix du lait ($/hl)</t>
  </si>
  <si>
    <t>Transport et mise en marché ($/hl)</t>
  </si>
  <si>
    <t>Prix du quota ($/kg)</t>
  </si>
  <si>
    <t>Taux intérêt sur quota (%)</t>
  </si>
  <si>
    <t>Note: La colonne orange peut être utilisée pour définir des objectifs à atteindre sur la ferme au lieu de la moyenne nationale.</t>
  </si>
  <si>
    <t>Total</t>
  </si>
  <si>
    <t>Prix net du lait ($/kg)</t>
  </si>
  <si>
    <t>Références utilisées:</t>
  </si>
  <si>
    <t>Mammite clinique</t>
  </si>
  <si>
    <t>Grohn et al. (2004)</t>
  </si>
  <si>
    <t>Hortet &amp; Seegers (1998)</t>
  </si>
  <si>
    <t>Houben et al.  (1993)</t>
  </si>
  <si>
    <t xml:space="preserve">Miller &amp; Dorn (1990) </t>
  </si>
  <si>
    <t>Miller et al. (1993)</t>
  </si>
  <si>
    <t>Kossaibati &amp; Esslemont (1997)</t>
  </si>
  <si>
    <t>Kaneene &amp; Hurd (1990)</t>
  </si>
  <si>
    <t xml:space="preserve">Sischo et al.  (1990) </t>
  </si>
  <si>
    <t>Mammite subclinique</t>
  </si>
  <si>
    <t>Bartlet et al. (1990)</t>
  </si>
  <si>
    <t>Hortet &amp; Seegers (overview)</t>
  </si>
  <si>
    <t>Halasa et al.  (2009)</t>
  </si>
  <si>
    <t xml:space="preserve">McInerney et al. (1993) </t>
  </si>
</sst>
</file>

<file path=xl/styles.xml><?xml version="1.0" encoding="utf-8"?>
<styleSheet xmlns="http://schemas.openxmlformats.org/spreadsheetml/2006/main">
  <numFmts count="7">
    <numFmt numFmtId="43" formatCode="_ * #,##0.00_)\ _$_ ;_ * \(#,##0.00\)\ _$_ ;_ * &quot;-&quot;??_)\ _$_ ;_ @_ "/>
    <numFmt numFmtId="164" formatCode="_-&quot;€&quot;\ * #,##0.00_-;_-&quot;€&quot;\ * #,##0.00\-;_-&quot;€&quot;\ * &quot;-&quot;??_-;_-@_-"/>
    <numFmt numFmtId="165" formatCode="_-* #,##0.00_-;_-* #,##0.00\-;_-* &quot;-&quot;??_-;_-@_-"/>
    <numFmt numFmtId="166" formatCode="[$$-409]#,##0.00"/>
    <numFmt numFmtId="167" formatCode="#,##0.00\ &quot;$&quot;"/>
    <numFmt numFmtId="168" formatCode="_ * #,##0.00_)\ [$$-C0C]_ ;_ * \(#,##0.00\)\ [$$-C0C]_ ;_ * &quot;-&quot;??_)\ [$$-C0C]_ ;_ @_ "/>
    <numFmt numFmtId="169" formatCode="0.0"/>
  </numFmts>
  <fonts count="42">
    <font>
      <sz val="10"/>
      <name val="Arial"/>
    </font>
    <font>
      <sz val="10"/>
      <name val="Arial"/>
      <family val="2"/>
    </font>
    <font>
      <sz val="8"/>
      <name val="Arial"/>
      <family val="2"/>
    </font>
    <font>
      <b/>
      <sz val="10"/>
      <name val="Arial"/>
      <family val="2"/>
    </font>
    <font>
      <sz val="12"/>
      <name val="Arial"/>
      <family val="2"/>
    </font>
    <font>
      <b/>
      <sz val="12"/>
      <name val="Arial"/>
      <family val="2"/>
    </font>
    <font>
      <sz val="8"/>
      <color indexed="81"/>
      <name val="Tahoma"/>
      <family val="2"/>
    </font>
    <font>
      <sz val="10"/>
      <color indexed="81"/>
      <name val="Tahoma"/>
      <family val="2"/>
    </font>
    <font>
      <sz val="11"/>
      <name val="Arial"/>
      <family val="2"/>
    </font>
    <font>
      <b/>
      <sz val="11"/>
      <name val="Arial"/>
      <family val="2"/>
    </font>
    <font>
      <sz val="11"/>
      <name val="Arial"/>
      <family val="2"/>
    </font>
    <font>
      <b/>
      <sz val="11"/>
      <name val="Arial"/>
      <family val="2"/>
    </font>
    <font>
      <b/>
      <sz val="14"/>
      <name val="Arial"/>
      <family val="2"/>
    </font>
    <font>
      <sz val="10"/>
      <color indexed="42"/>
      <name val="Arial"/>
      <family val="2"/>
    </font>
    <font>
      <sz val="12"/>
      <name val="Arial"/>
      <family val="2"/>
    </font>
    <font>
      <b/>
      <sz val="12"/>
      <name val="Arial"/>
      <family val="2"/>
    </font>
    <font>
      <sz val="11"/>
      <name val="Times New Roman"/>
      <family val="1"/>
    </font>
    <font>
      <sz val="10"/>
      <name val="Arial"/>
      <family val="2"/>
    </font>
    <font>
      <sz val="10"/>
      <name val="Arial"/>
      <family val="2"/>
    </font>
    <font>
      <sz val="11"/>
      <color indexed="9"/>
      <name val="Arial"/>
      <family val="2"/>
    </font>
    <font>
      <sz val="10"/>
      <color indexed="9"/>
      <name val="Arial"/>
      <family val="2"/>
    </font>
    <font>
      <sz val="10"/>
      <name val="Arial"/>
      <family val="2"/>
    </font>
    <font>
      <sz val="12"/>
      <name val="Times New Roman"/>
      <family val="1"/>
    </font>
    <font>
      <sz val="10"/>
      <name val="Arial"/>
      <family val="2"/>
    </font>
    <font>
      <b/>
      <sz val="10"/>
      <name val="Arial"/>
      <family val="2"/>
    </font>
    <font>
      <sz val="10"/>
      <name val="Arial"/>
      <family val="2"/>
    </font>
    <font>
      <i/>
      <sz val="9"/>
      <name val="Arial"/>
      <family val="2"/>
    </font>
    <font>
      <b/>
      <i/>
      <sz val="11"/>
      <name val="Arial"/>
      <family val="2"/>
    </font>
    <font>
      <u val="singleAccounting"/>
      <sz val="10"/>
      <name val="Arial"/>
      <family val="2"/>
    </font>
    <font>
      <b/>
      <u/>
      <sz val="11"/>
      <name val="Arial"/>
      <family val="2"/>
    </font>
    <font>
      <sz val="10"/>
      <color theme="0"/>
      <name val="Arial"/>
      <family val="2"/>
    </font>
    <font>
      <i/>
      <sz val="10"/>
      <name val="Arial"/>
      <family val="2"/>
    </font>
    <font>
      <b/>
      <sz val="16"/>
      <name val="Arial Rounded MT Bold"/>
      <family val="2"/>
    </font>
    <font>
      <i/>
      <sz val="10"/>
      <color indexed="81"/>
      <name val="Tahoma"/>
      <family val="2"/>
    </font>
    <font>
      <sz val="9"/>
      <color indexed="81"/>
      <name val="Tahoma"/>
      <family val="2"/>
    </font>
    <font>
      <i/>
      <sz val="9"/>
      <color indexed="81"/>
      <name val="Tahoma"/>
      <family val="2"/>
    </font>
    <font>
      <b/>
      <sz val="12"/>
      <color rgb="FF002060"/>
      <name val="Arial"/>
      <family val="2"/>
    </font>
    <font>
      <sz val="12"/>
      <color rgb="FF002060"/>
      <name val="Arial"/>
      <family val="2"/>
    </font>
    <font>
      <sz val="9"/>
      <name val="Arial"/>
      <family val="2"/>
    </font>
    <font>
      <b/>
      <sz val="9"/>
      <name val="Arial"/>
      <family val="2"/>
    </font>
    <font>
      <sz val="10"/>
      <name val="Arial"/>
      <family val="2"/>
    </font>
    <font>
      <sz val="12"/>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3">
    <border>
      <left/>
      <right/>
      <top/>
      <bottom/>
      <diagonal/>
    </border>
    <border>
      <left/>
      <right/>
      <top/>
      <bottom style="medium">
        <color indexed="64"/>
      </bottom>
      <diagonal/>
    </border>
    <border>
      <left/>
      <right/>
      <top style="medium">
        <color indexed="64"/>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40" fillId="0" borderId="0" applyFont="0" applyFill="0" applyBorder="0" applyAlignment="0" applyProtection="0"/>
  </cellStyleXfs>
  <cellXfs count="174">
    <xf numFmtId="0" fontId="0" fillId="0" borderId="0" xfId="0"/>
    <xf numFmtId="0" fontId="0" fillId="0" borderId="0" xfId="0" applyFill="1"/>
    <xf numFmtId="0" fontId="0" fillId="2" borderId="0" xfId="0" applyFill="1"/>
    <xf numFmtId="0" fontId="0" fillId="2" borderId="0" xfId="0" applyFill="1" applyProtection="1">
      <protection locked="0"/>
    </xf>
    <xf numFmtId="0" fontId="0" fillId="2" borderId="0" xfId="0" applyFill="1" applyProtection="1"/>
    <xf numFmtId="0" fontId="8" fillId="3" borderId="0" xfId="0" applyFont="1" applyFill="1" applyProtection="1"/>
    <xf numFmtId="0" fontId="9" fillId="3" borderId="0" xfId="0" applyFont="1" applyFill="1" applyAlignment="1" applyProtection="1">
      <alignment horizontal="center"/>
    </xf>
    <xf numFmtId="0" fontId="11" fillId="3" borderId="0" xfId="0" applyFont="1" applyFill="1" applyAlignment="1" applyProtection="1"/>
    <xf numFmtId="0" fontId="0" fillId="2" borderId="0" xfId="0" applyFill="1" applyProtection="1">
      <protection locked="0" hidden="1"/>
    </xf>
    <xf numFmtId="0" fontId="8" fillId="3" borderId="0" xfId="0" applyFont="1" applyFill="1" applyProtection="1">
      <protection hidden="1"/>
    </xf>
    <xf numFmtId="1" fontId="8" fillId="3" borderId="0" xfId="0" applyNumberFormat="1" applyFont="1" applyFill="1" applyProtection="1">
      <protection hidden="1"/>
    </xf>
    <xf numFmtId="0" fontId="11" fillId="3" borderId="0" xfId="0" applyFont="1" applyFill="1" applyAlignment="1" applyProtection="1">
      <protection hidden="1"/>
    </xf>
    <xf numFmtId="10" fontId="16" fillId="3" borderId="0" xfId="0" applyNumberFormat="1" applyFont="1" applyFill="1" applyBorder="1" applyAlignment="1" applyProtection="1">
      <alignment horizontal="center" vertical="top" wrapText="1"/>
      <protection hidden="1"/>
    </xf>
    <xf numFmtId="0" fontId="18" fillId="0" borderId="0" xfId="0" applyFont="1"/>
    <xf numFmtId="1" fontId="19" fillId="2" borderId="0" xfId="0" applyNumberFormat="1" applyFont="1" applyFill="1" applyBorder="1" applyProtection="1">
      <protection locked="0" hidden="1"/>
    </xf>
    <xf numFmtId="0" fontId="0" fillId="0" borderId="0" xfId="0" applyBorder="1"/>
    <xf numFmtId="0" fontId="1" fillId="0" borderId="0" xfId="0" applyFont="1"/>
    <xf numFmtId="0" fontId="4" fillId="3" borderId="0" xfId="0" applyFont="1" applyFill="1" applyAlignment="1" applyProtection="1">
      <alignment horizontal="center"/>
      <protection hidden="1"/>
    </xf>
    <xf numFmtId="0" fontId="8" fillId="3" borderId="0" xfId="0" applyFont="1" applyFill="1" applyAlignment="1" applyProtection="1">
      <alignment horizontal="center"/>
      <protection hidden="1"/>
    </xf>
    <xf numFmtId="0" fontId="17" fillId="0" borderId="0" xfId="0" applyFont="1"/>
    <xf numFmtId="1" fontId="1" fillId="0" borderId="0" xfId="0" applyNumberFormat="1" applyFont="1"/>
    <xf numFmtId="0" fontId="21" fillId="0" borderId="0" xfId="0" applyFont="1"/>
    <xf numFmtId="0" fontId="21" fillId="3" borderId="0" xfId="0" applyFont="1" applyFill="1" applyProtection="1">
      <protection hidden="1"/>
    </xf>
    <xf numFmtId="0" fontId="17" fillId="2" borderId="0" xfId="0" applyFont="1" applyFill="1" applyProtection="1">
      <protection locked="0" hidden="1"/>
    </xf>
    <xf numFmtId="0" fontId="17" fillId="3" borderId="0" xfId="0" applyFont="1" applyFill="1" applyProtection="1"/>
    <xf numFmtId="0" fontId="22" fillId="2" borderId="0" xfId="0" applyFont="1" applyFill="1" applyBorder="1" applyAlignment="1" applyProtection="1">
      <alignment horizontal="center" vertical="top" wrapText="1"/>
      <protection locked="0" hidden="1"/>
    </xf>
    <xf numFmtId="10" fontId="22" fillId="2" borderId="0" xfId="0" applyNumberFormat="1" applyFont="1" applyFill="1" applyBorder="1" applyAlignment="1" applyProtection="1">
      <alignment horizontal="center" vertical="top" wrapText="1"/>
      <protection locked="0" hidden="1"/>
    </xf>
    <xf numFmtId="0" fontId="23" fillId="0" borderId="0" xfId="0" applyFont="1"/>
    <xf numFmtId="0" fontId="25" fillId="0" borderId="0" xfId="0" applyFont="1"/>
    <xf numFmtId="0" fontId="0" fillId="2" borderId="0" xfId="0" applyFill="1" applyBorder="1" applyProtection="1">
      <protection locked="0" hidden="1"/>
    </xf>
    <xf numFmtId="0" fontId="0" fillId="2" borderId="0" xfId="0" applyFill="1" applyBorder="1"/>
    <xf numFmtId="0" fontId="0" fillId="2" borderId="0" xfId="0" applyFill="1" applyBorder="1" applyProtection="1">
      <protection locked="0"/>
    </xf>
    <xf numFmtId="0" fontId="19" fillId="2" borderId="0" xfId="0" applyFont="1" applyFill="1" applyBorder="1" applyProtection="1">
      <protection locked="0" hidden="1"/>
    </xf>
    <xf numFmtId="0" fontId="20" fillId="2" borderId="0" xfId="0" applyFont="1" applyFill="1" applyBorder="1" applyProtection="1">
      <protection locked="0" hidden="1"/>
    </xf>
    <xf numFmtId="0" fontId="22" fillId="2" borderId="0" xfId="0" applyNumberFormat="1" applyFont="1" applyFill="1" applyBorder="1" applyAlignment="1" applyProtection="1">
      <alignment horizontal="center" vertical="top" wrapText="1"/>
      <protection locked="0" hidden="1"/>
    </xf>
    <xf numFmtId="167" fontId="23" fillId="3" borderId="0" xfId="0" applyNumberFormat="1" applyFont="1" applyFill="1" applyProtection="1">
      <protection hidden="1"/>
    </xf>
    <xf numFmtId="167" fontId="23" fillId="3" borderId="0" xfId="0" applyNumberFormat="1" applyFont="1" applyFill="1" applyProtection="1"/>
    <xf numFmtId="167" fontId="24" fillId="3" borderId="0" xfId="0" applyNumberFormat="1" applyFont="1" applyFill="1" applyProtection="1">
      <protection hidden="1"/>
    </xf>
    <xf numFmtId="167" fontId="25" fillId="3" borderId="0" xfId="0" applyNumberFormat="1" applyFont="1" applyFill="1" applyProtection="1">
      <protection hidden="1"/>
    </xf>
    <xf numFmtId="167" fontId="25" fillId="3" borderId="0" xfId="0" applyNumberFormat="1" applyFont="1" applyFill="1" applyProtection="1"/>
    <xf numFmtId="167" fontId="5" fillId="3" borderId="0" xfId="0" applyNumberFormat="1" applyFont="1" applyFill="1" applyBorder="1" applyProtection="1">
      <protection locked="0" hidden="1"/>
    </xf>
    <xf numFmtId="167" fontId="17" fillId="3" borderId="0" xfId="0" applyNumberFormat="1" applyFont="1" applyFill="1" applyProtection="1">
      <protection hidden="1"/>
    </xf>
    <xf numFmtId="167" fontId="17" fillId="3" borderId="0" xfId="0" applyNumberFormat="1" applyFont="1" applyFill="1" applyProtection="1"/>
    <xf numFmtId="165" fontId="17" fillId="0" borderId="0" xfId="1" applyFont="1"/>
    <xf numFmtId="165" fontId="28" fillId="0" borderId="0" xfId="1" applyFont="1"/>
    <xf numFmtId="167" fontId="9" fillId="3" borderId="0" xfId="0" applyNumberFormat="1" applyFont="1" applyFill="1" applyBorder="1" applyProtection="1">
      <protection locked="0" hidden="1"/>
    </xf>
    <xf numFmtId="167" fontId="29" fillId="3" borderId="0" xfId="0" applyNumberFormat="1" applyFont="1" applyFill="1" applyBorder="1" applyProtection="1">
      <protection locked="0" hidden="1"/>
    </xf>
    <xf numFmtId="167" fontId="9" fillId="0" borderId="0" xfId="0" applyNumberFormat="1" applyFont="1"/>
    <xf numFmtId="43" fontId="17" fillId="0" borderId="0" xfId="0" applyNumberFormat="1" applyFont="1"/>
    <xf numFmtId="165" fontId="17" fillId="0" borderId="0" xfId="0" applyNumberFormat="1" applyFont="1"/>
    <xf numFmtId="0" fontId="0" fillId="0" borderId="0" xfId="0" applyAlignment="1">
      <alignment horizontal="center"/>
    </xf>
    <xf numFmtId="168" fontId="17" fillId="0" borderId="0" xfId="2" applyNumberFormat="1" applyFont="1"/>
    <xf numFmtId="0" fontId="30" fillId="0" borderId="0" xfId="0" applyFont="1"/>
    <xf numFmtId="3" fontId="30" fillId="0" borderId="0" xfId="0" applyNumberFormat="1" applyFont="1"/>
    <xf numFmtId="10" fontId="0" fillId="0" borderId="0" xfId="0" applyNumberFormat="1"/>
    <xf numFmtId="1" fontId="30" fillId="0" borderId="0" xfId="0" applyNumberFormat="1" applyFont="1"/>
    <xf numFmtId="0" fontId="0" fillId="2" borderId="0" xfId="0" applyFill="1" applyBorder="1" applyAlignment="1" applyProtection="1">
      <alignment horizontal="center"/>
      <protection locked="0"/>
    </xf>
    <xf numFmtId="0" fontId="18" fillId="2" borderId="0" xfId="0" applyFont="1" applyFill="1" applyBorder="1" applyAlignment="1" applyProtection="1">
      <alignment horizontal="center"/>
      <protection locked="0"/>
    </xf>
    <xf numFmtId="0" fontId="0" fillId="2" borderId="0" xfId="0" applyFill="1" applyBorder="1" applyAlignment="1">
      <alignment horizontal="center"/>
    </xf>
    <xf numFmtId="2" fontId="0" fillId="0" borderId="0" xfId="0" applyNumberFormat="1" applyBorder="1" applyAlignment="1">
      <alignment horizontal="center"/>
    </xf>
    <xf numFmtId="165" fontId="0" fillId="0" borderId="0" xfId="1" applyFont="1" applyBorder="1" applyAlignment="1">
      <alignment horizontal="center"/>
    </xf>
    <xf numFmtId="165" fontId="0" fillId="2" borderId="0" xfId="1" applyFont="1" applyFill="1" applyBorder="1" applyProtection="1">
      <protection locked="0"/>
    </xf>
    <xf numFmtId="165" fontId="0" fillId="0" borderId="0" xfId="1" applyFont="1" applyBorder="1"/>
    <xf numFmtId="2" fontId="0" fillId="2" borderId="0" xfId="0" applyNumberFormat="1" applyFill="1" applyBorder="1" applyAlignment="1" applyProtection="1">
      <alignment horizontal="center"/>
      <protection locked="0"/>
    </xf>
    <xf numFmtId="1" fontId="0" fillId="2" borderId="0" xfId="0" applyNumberFormat="1" applyFill="1" applyBorder="1" applyAlignment="1" applyProtection="1">
      <alignment horizontal="center"/>
      <protection locked="0"/>
    </xf>
    <xf numFmtId="165" fontId="0" fillId="2" borderId="0" xfId="1" applyFont="1" applyFill="1" applyBorder="1"/>
    <xf numFmtId="165" fontId="0" fillId="2" borderId="0" xfId="1" applyFont="1" applyFill="1" applyBorder="1" applyAlignment="1">
      <alignment horizontal="center"/>
    </xf>
    <xf numFmtId="0" fontId="0" fillId="2" borderId="0" xfId="0" applyFill="1" applyBorder="1" applyProtection="1"/>
    <xf numFmtId="0" fontId="0" fillId="2" borderId="0" xfId="0" applyFill="1" applyBorder="1" applyAlignment="1" applyProtection="1">
      <alignment horizontal="center"/>
    </xf>
    <xf numFmtId="165" fontId="28" fillId="2" borderId="0" xfId="1" applyFont="1" applyFill="1" applyBorder="1"/>
    <xf numFmtId="0" fontId="0" fillId="2" borderId="0" xfId="0" applyFill="1" applyAlignment="1" applyProtection="1">
      <alignment horizontal="center"/>
      <protection locked="0"/>
    </xf>
    <xf numFmtId="0" fontId="0" fillId="2" borderId="0" xfId="0" applyFill="1" applyAlignment="1">
      <alignment horizontal="center"/>
    </xf>
    <xf numFmtId="0" fontId="0" fillId="5" borderId="0" xfId="0" applyFill="1" applyBorder="1"/>
    <xf numFmtId="166" fontId="15" fillId="4" borderId="2" xfId="0" applyNumberFormat="1" applyFont="1" applyFill="1" applyBorder="1" applyProtection="1">
      <protection hidden="1"/>
    </xf>
    <xf numFmtId="166" fontId="15" fillId="4" borderId="0" xfId="0" applyNumberFormat="1" applyFont="1" applyFill="1" applyProtection="1">
      <protection hidden="1"/>
    </xf>
    <xf numFmtId="0" fontId="0" fillId="5" borderId="0" xfId="0" applyFill="1" applyBorder="1" applyAlignment="1">
      <alignment horizontal="center"/>
    </xf>
    <xf numFmtId="1" fontId="0" fillId="5" borderId="0" xfId="0" applyNumberFormat="1" applyFill="1" applyBorder="1"/>
    <xf numFmtId="1" fontId="0" fillId="5" borderId="0" xfId="0" applyNumberFormat="1" applyFill="1" applyBorder="1" applyProtection="1">
      <protection locked="0"/>
    </xf>
    <xf numFmtId="0" fontId="0" fillId="5" borderId="0" xfId="0" applyFill="1" applyBorder="1" applyProtection="1">
      <protection locked="0"/>
    </xf>
    <xf numFmtId="1" fontId="0" fillId="5" borderId="0" xfId="0" applyNumberFormat="1" applyFill="1" applyBorder="1" applyProtection="1"/>
    <xf numFmtId="0" fontId="0" fillId="5" borderId="0" xfId="0" applyFill="1" applyBorder="1" applyProtection="1"/>
    <xf numFmtId="0" fontId="0" fillId="6" borderId="0" xfId="0" applyFill="1"/>
    <xf numFmtId="0" fontId="14" fillId="6" borderId="0" xfId="0" applyFont="1" applyFill="1" applyAlignment="1" applyProtection="1">
      <alignment horizontal="center"/>
    </xf>
    <xf numFmtId="0" fontId="26" fillId="6" borderId="0" xfId="0" applyFont="1" applyFill="1" applyAlignment="1" applyProtection="1">
      <alignment horizontal="center"/>
    </xf>
    <xf numFmtId="0" fontId="4" fillId="6" borderId="0" xfId="0" applyFont="1" applyFill="1" applyAlignment="1" applyProtection="1">
      <alignment horizontal="center"/>
    </xf>
    <xf numFmtId="0" fontId="0" fillId="6" borderId="0" xfId="0" applyFill="1" applyProtection="1"/>
    <xf numFmtId="0" fontId="3" fillId="6" borderId="0" xfId="0" applyFont="1" applyFill="1" applyProtection="1"/>
    <xf numFmtId="0" fontId="15" fillId="6" borderId="0" xfId="0" applyFont="1" applyFill="1" applyProtection="1"/>
    <xf numFmtId="0" fontId="10" fillId="6" borderId="0" xfId="0" applyFont="1" applyFill="1" applyProtection="1"/>
    <xf numFmtId="0" fontId="9" fillId="6" borderId="0" xfId="0" applyFont="1" applyFill="1" applyAlignment="1" applyProtection="1">
      <alignment horizontal="center"/>
    </xf>
    <xf numFmtId="0" fontId="0" fillId="6" borderId="0" xfId="0" applyFill="1" applyAlignment="1" applyProtection="1">
      <alignment horizontal="center"/>
    </xf>
    <xf numFmtId="0" fontId="0" fillId="6" borderId="0" xfId="0" applyFill="1" applyProtection="1">
      <protection hidden="1"/>
    </xf>
    <xf numFmtId="0" fontId="8" fillId="6" borderId="0" xfId="0" applyFont="1" applyFill="1" applyProtection="1"/>
    <xf numFmtId="1" fontId="8" fillId="6" borderId="0" xfId="0" applyNumberFormat="1" applyFont="1" applyFill="1" applyBorder="1" applyProtection="1">
      <protection locked="0" hidden="1"/>
    </xf>
    <xf numFmtId="0" fontId="8" fillId="6" borderId="0" xfId="0" applyFont="1" applyFill="1" applyAlignment="1" applyProtection="1">
      <alignment horizontal="center"/>
    </xf>
    <xf numFmtId="1" fontId="8" fillId="6" borderId="0" xfId="0" applyNumberFormat="1" applyFont="1" applyFill="1" applyProtection="1"/>
    <xf numFmtId="0" fontId="11" fillId="6" borderId="0" xfId="0" applyFont="1" applyFill="1" applyBorder="1" applyAlignment="1" applyProtection="1">
      <alignment horizontal="center"/>
      <protection hidden="1"/>
    </xf>
    <xf numFmtId="0" fontId="8" fillId="6" borderId="0" xfId="0" applyFont="1" applyFill="1" applyProtection="1">
      <protection hidden="1"/>
    </xf>
    <xf numFmtId="0" fontId="13" fillId="6" borderId="0" xfId="0" applyFont="1" applyFill="1" applyProtection="1">
      <protection hidden="1"/>
    </xf>
    <xf numFmtId="1" fontId="8" fillId="6" borderId="0" xfId="0" applyNumberFormat="1" applyFont="1" applyFill="1" applyProtection="1">
      <protection hidden="1"/>
    </xf>
    <xf numFmtId="0" fontId="14" fillId="6" borderId="0" xfId="0" applyFont="1" applyFill="1" applyProtection="1"/>
    <xf numFmtId="1" fontId="14" fillId="6" borderId="0" xfId="0" applyNumberFormat="1" applyFont="1" applyFill="1" applyBorder="1" applyProtection="1">
      <protection locked="0" hidden="1"/>
    </xf>
    <xf numFmtId="0" fontId="8" fillId="6" borderId="0" xfId="0" applyFont="1" applyFill="1"/>
    <xf numFmtId="1" fontId="8" fillId="6" borderId="0" xfId="0" applyNumberFormat="1" applyFont="1" applyFill="1" applyBorder="1" applyProtection="1">
      <protection hidden="1"/>
    </xf>
    <xf numFmtId="0" fontId="9" fillId="6" borderId="0" xfId="0" applyFont="1" applyFill="1" applyProtection="1"/>
    <xf numFmtId="0" fontId="9" fillId="6" borderId="0" xfId="0" applyFont="1" applyFill="1" applyProtection="1">
      <protection locked="0" hidden="1"/>
    </xf>
    <xf numFmtId="0" fontId="0" fillId="6" borderId="0" xfId="0" applyFill="1" applyBorder="1"/>
    <xf numFmtId="0" fontId="8" fillId="6" borderId="0" xfId="0" applyFont="1" applyFill="1" applyProtection="1">
      <protection locked="0"/>
    </xf>
    <xf numFmtId="0" fontId="8" fillId="6" borderId="0" xfId="0" applyFont="1" applyFill="1" applyBorder="1" applyProtection="1">
      <protection locked="0" hidden="1"/>
    </xf>
    <xf numFmtId="2" fontId="8" fillId="6" borderId="0" xfId="0" applyNumberFormat="1" applyFont="1" applyFill="1" applyProtection="1"/>
    <xf numFmtId="1" fontId="9" fillId="6" borderId="0" xfId="0" applyNumberFormat="1" applyFont="1" applyFill="1" applyBorder="1" applyProtection="1">
      <protection locked="0" hidden="1"/>
    </xf>
    <xf numFmtId="9" fontId="9" fillId="6" borderId="0" xfId="0" applyNumberFormat="1" applyFont="1" applyFill="1" applyProtection="1"/>
    <xf numFmtId="0" fontId="12" fillId="6" borderId="0" xfId="0" applyFont="1" applyFill="1" applyProtection="1"/>
    <xf numFmtId="0" fontId="3" fillId="6" borderId="0" xfId="0" applyFont="1" applyFill="1" applyAlignment="1" applyProtection="1">
      <alignment horizontal="center"/>
    </xf>
    <xf numFmtId="1" fontId="9" fillId="6" borderId="0" xfId="0" applyNumberFormat="1" applyFont="1" applyFill="1" applyBorder="1" applyAlignment="1" applyProtection="1">
      <alignment horizontal="center"/>
      <protection locked="0" hidden="1"/>
    </xf>
    <xf numFmtId="0" fontId="4" fillId="6" borderId="0" xfId="0" applyFont="1" applyFill="1" applyProtection="1"/>
    <xf numFmtId="0" fontId="4" fillId="6" borderId="1" xfId="0" applyFont="1" applyFill="1" applyBorder="1" applyProtection="1"/>
    <xf numFmtId="0" fontId="5" fillId="6" borderId="0" xfId="0" applyFont="1" applyFill="1" applyProtection="1"/>
    <xf numFmtId="1" fontId="8" fillId="7" borderId="0" xfId="0" applyNumberFormat="1" applyFont="1" applyFill="1" applyBorder="1" applyProtection="1">
      <protection locked="0" hidden="1"/>
    </xf>
    <xf numFmtId="3" fontId="8" fillId="7" borderId="0" xfId="0" applyNumberFormat="1" applyFont="1" applyFill="1" applyBorder="1" applyProtection="1">
      <protection locked="0" hidden="1"/>
    </xf>
    <xf numFmtId="0" fontId="11" fillId="8" borderId="0" xfId="0" applyFont="1" applyFill="1" applyBorder="1" applyAlignment="1" applyProtection="1">
      <alignment horizontal="center"/>
    </xf>
    <xf numFmtId="0" fontId="9" fillId="9" borderId="0" xfId="0" applyFont="1" applyFill="1" applyProtection="1">
      <protection hidden="1"/>
    </xf>
    <xf numFmtId="1" fontId="8" fillId="9" borderId="0" xfId="0" applyNumberFormat="1" applyFont="1" applyFill="1" applyBorder="1" applyProtection="1">
      <protection locked="0" hidden="1"/>
    </xf>
    <xf numFmtId="0" fontId="11" fillId="8" borderId="0" xfId="0" applyFont="1" applyFill="1" applyBorder="1" applyAlignment="1" applyProtection="1">
      <alignment horizontal="center" shrinkToFit="1"/>
    </xf>
    <xf numFmtId="0" fontId="9" fillId="8" borderId="0" xfId="0" applyFont="1" applyFill="1" applyBorder="1" applyAlignment="1" applyProtection="1">
      <alignment horizontal="center"/>
    </xf>
    <xf numFmtId="9" fontId="8" fillId="7" borderId="0" xfId="0" applyNumberFormat="1" applyFont="1" applyFill="1" applyBorder="1" applyProtection="1">
      <protection locked="0" hidden="1"/>
    </xf>
    <xf numFmtId="2" fontId="8" fillId="7" borderId="0" xfId="0" applyNumberFormat="1" applyFont="1" applyFill="1" applyBorder="1" applyProtection="1">
      <protection locked="0" hidden="1"/>
    </xf>
    <xf numFmtId="9" fontId="8" fillId="9" borderId="0" xfId="0" applyNumberFormat="1" applyFont="1" applyFill="1" applyProtection="1">
      <protection hidden="1"/>
    </xf>
    <xf numFmtId="2" fontId="8" fillId="9" borderId="0" xfId="0" applyNumberFormat="1" applyFont="1" applyFill="1" applyBorder="1" applyProtection="1">
      <protection locked="0" hidden="1"/>
    </xf>
    <xf numFmtId="0" fontId="8" fillId="9" borderId="0" xfId="0" applyFont="1" applyFill="1" applyProtection="1">
      <protection hidden="1"/>
    </xf>
    <xf numFmtId="0" fontId="9" fillId="8" borderId="0" xfId="0" applyFont="1" applyFill="1" applyAlignment="1" applyProtection="1">
      <alignment horizontal="center"/>
    </xf>
    <xf numFmtId="0" fontId="27" fillId="8" borderId="0" xfId="0" applyFont="1" applyFill="1" applyAlignment="1" applyProtection="1">
      <alignment horizontal="center"/>
    </xf>
    <xf numFmtId="169" fontId="9" fillId="9" borderId="0" xfId="0" applyNumberFormat="1" applyFont="1" applyFill="1" applyProtection="1">
      <protection hidden="1"/>
    </xf>
    <xf numFmtId="0" fontId="8" fillId="7" borderId="0" xfId="0" applyFont="1" applyFill="1" applyProtection="1">
      <protection locked="0" hidden="1"/>
    </xf>
    <xf numFmtId="0" fontId="8" fillId="9" borderId="0" xfId="0" applyFont="1" applyFill="1" applyProtection="1">
      <protection locked="0" hidden="1"/>
    </xf>
    <xf numFmtId="1" fontId="9" fillId="8" borderId="0" xfId="0" applyNumberFormat="1" applyFont="1" applyFill="1" applyAlignment="1" applyProtection="1">
      <alignment horizontal="center"/>
    </xf>
    <xf numFmtId="166" fontId="4" fillId="7" borderId="0" xfId="0" applyNumberFormat="1" applyFont="1" applyFill="1" applyProtection="1">
      <protection hidden="1"/>
    </xf>
    <xf numFmtId="166" fontId="4" fillId="9" borderId="0" xfId="0" applyNumberFormat="1" applyFont="1" applyFill="1" applyProtection="1">
      <protection hidden="1"/>
    </xf>
    <xf numFmtId="166" fontId="15" fillId="10" borderId="2" xfId="0" applyNumberFormat="1" applyFont="1" applyFill="1" applyBorder="1" applyProtection="1">
      <protection hidden="1"/>
    </xf>
    <xf numFmtId="166" fontId="15" fillId="10" borderId="0" xfId="0" applyNumberFormat="1" applyFont="1" applyFill="1" applyProtection="1">
      <protection hidden="1"/>
    </xf>
    <xf numFmtId="0" fontId="0" fillId="6" borderId="0" xfId="0" applyFill="1" applyAlignment="1">
      <alignment horizontal="center"/>
    </xf>
    <xf numFmtId="0" fontId="36" fillId="6" borderId="0" xfId="0" applyFont="1" applyFill="1" applyProtection="1">
      <protection locked="0"/>
    </xf>
    <xf numFmtId="0" fontId="37" fillId="6" borderId="0" xfId="0" applyFont="1" applyFill="1" applyProtection="1">
      <protection locked="0"/>
    </xf>
    <xf numFmtId="0" fontId="37" fillId="6" borderId="0" xfId="0" applyFont="1" applyFill="1" applyProtection="1">
      <protection locked="0" hidden="1"/>
    </xf>
    <xf numFmtId="0" fontId="37" fillId="6" borderId="0" xfId="0" applyFont="1" applyFill="1" applyProtection="1"/>
    <xf numFmtId="166" fontId="37" fillId="6" borderId="0" xfId="0" applyNumberFormat="1" applyFont="1" applyFill="1" applyProtection="1"/>
    <xf numFmtId="0" fontId="3" fillId="6" borderId="0" xfId="0" applyFont="1" applyFill="1" applyAlignment="1" applyProtection="1"/>
    <xf numFmtId="0" fontId="1" fillId="2" borderId="0" xfId="0" applyFont="1" applyFill="1" applyBorder="1" applyProtection="1">
      <protection locked="0"/>
    </xf>
    <xf numFmtId="0" fontId="38" fillId="6" borderId="0" xfId="0" applyFont="1" applyFill="1"/>
    <xf numFmtId="0" fontId="38" fillId="6" borderId="0" xfId="0" applyFont="1" applyFill="1" applyAlignment="1" applyProtection="1">
      <alignment horizontal="center"/>
      <protection locked="0" hidden="1"/>
    </xf>
    <xf numFmtId="0" fontId="22" fillId="2" borderId="0" xfId="0" applyFont="1" applyFill="1" applyBorder="1" applyAlignment="1" applyProtection="1">
      <alignment horizontal="center" vertical="top" wrapText="1"/>
      <protection locked="0" hidden="1"/>
    </xf>
    <xf numFmtId="9" fontId="8" fillId="7" borderId="0" xfId="3" applyFont="1" applyFill="1" applyBorder="1" applyProtection="1">
      <protection locked="0" hidden="1"/>
    </xf>
    <xf numFmtId="9" fontId="8" fillId="9" borderId="0" xfId="3" applyFont="1" applyFill="1" applyBorder="1" applyProtection="1">
      <protection locked="0" hidden="1"/>
    </xf>
    <xf numFmtId="0" fontId="31" fillId="6" borderId="0" xfId="0" applyFont="1" applyFill="1"/>
    <xf numFmtId="1" fontId="9" fillId="9" borderId="0" xfId="0" applyNumberFormat="1" applyFont="1" applyFill="1" applyProtection="1">
      <protection hidden="1"/>
    </xf>
    <xf numFmtId="0" fontId="18" fillId="0" borderId="0" xfId="0" applyFont="1" applyBorder="1" applyAlignment="1">
      <alignment horizontal="center"/>
    </xf>
    <xf numFmtId="0" fontId="0" fillId="0" borderId="0" xfId="0" applyBorder="1" applyAlignment="1">
      <alignment horizontal="center"/>
    </xf>
    <xf numFmtId="43" fontId="0" fillId="0" borderId="0" xfId="0" applyNumberFormat="1" applyBorder="1"/>
    <xf numFmtId="0" fontId="18" fillId="0" borderId="0" xfId="0" applyFont="1" applyBorder="1"/>
    <xf numFmtId="0" fontId="5" fillId="0" borderId="0" xfId="0" applyFont="1"/>
    <xf numFmtId="0" fontId="41" fillId="0" borderId="0" xfId="0" applyFont="1"/>
    <xf numFmtId="0" fontId="4" fillId="0" borderId="0" xfId="0" applyFont="1"/>
    <xf numFmtId="0" fontId="12" fillId="0" borderId="0" xfId="0" applyFont="1"/>
    <xf numFmtId="0" fontId="22" fillId="2" borderId="0" xfId="0" applyFont="1" applyFill="1" applyBorder="1" applyAlignment="1" applyProtection="1">
      <alignment horizontal="center" vertical="top" wrapText="1"/>
      <protection locked="0" hidden="1"/>
    </xf>
    <xf numFmtId="0" fontId="18" fillId="0" borderId="0" xfId="0" applyFont="1" applyAlignment="1">
      <alignment horizontal="center"/>
    </xf>
    <xf numFmtId="0" fontId="0" fillId="0" borderId="0" xfId="0" applyAlignment="1">
      <alignment horizontal="center"/>
    </xf>
    <xf numFmtId="0" fontId="32" fillId="6" borderId="0" xfId="0" applyFont="1" applyFill="1" applyAlignment="1" applyProtection="1">
      <alignment horizontal="center" vertical="center"/>
    </xf>
    <xf numFmtId="0" fontId="0" fillId="6" borderId="0" xfId="0" applyFill="1" applyAlignment="1">
      <alignment horizontal="center"/>
    </xf>
    <xf numFmtId="0" fontId="18" fillId="0" borderId="0" xfId="0" applyFont="1" applyBorder="1" applyAlignment="1">
      <alignment horizontal="center"/>
    </xf>
    <xf numFmtId="0" fontId="0" fillId="0" borderId="0" xfId="0" applyBorder="1" applyAlignment="1">
      <alignment horizontal="center"/>
    </xf>
    <xf numFmtId="0" fontId="3" fillId="6" borderId="0" xfId="0" applyFont="1" applyFill="1" applyAlignment="1" applyProtection="1">
      <alignment horizontal="center"/>
    </xf>
    <xf numFmtId="0" fontId="1" fillId="6" borderId="0" xfId="0" applyFont="1" applyFill="1" applyAlignment="1" applyProtection="1">
      <alignment horizontal="center"/>
    </xf>
    <xf numFmtId="0" fontId="31" fillId="6" borderId="0" xfId="0" applyFont="1" applyFill="1" applyAlignment="1" applyProtection="1">
      <alignment horizontal="center"/>
    </xf>
    <xf numFmtId="0" fontId="1" fillId="0" borderId="0" xfId="0" applyFont="1" applyAlignment="1">
      <alignment horizontal="center"/>
    </xf>
  </cellXfs>
  <cellStyles count="4">
    <cellStyle name="Milliers" xfId="1" builtinId="3"/>
    <cellStyle name="Monétaire" xfId="2" builtinId="4"/>
    <cellStyle name="Normal" xfId="0" builtinId="0"/>
    <cellStyle name="Pourcentage" xfId="3" builtinId="5"/>
  </cellStyles>
  <dxfs count="0"/>
  <tableStyles count="0" defaultTableStyle="TableStyleMedium9" defaultPivotStyle="PivotStyleLight16"/>
  <colors>
    <mruColors>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992215</xdr:colOff>
      <xdr:row>0</xdr:row>
      <xdr:rowOff>116418</xdr:rowOff>
    </xdr:from>
    <xdr:to>
      <xdr:col>1</xdr:col>
      <xdr:colOff>2423583</xdr:colOff>
      <xdr:row>6</xdr:row>
      <xdr:rowOff>1</xdr:rowOff>
    </xdr:to>
    <xdr:pic>
      <xdr:nvPicPr>
        <xdr:cNvPr id="3218" name="Picture 1" descr="ugcn logo"/>
        <xdr:cNvPicPr>
          <a:picLocks noChangeAspect="1" noChangeArrowheads="1"/>
        </xdr:cNvPicPr>
      </xdr:nvPicPr>
      <xdr:blipFill>
        <a:blip xmlns:r="http://schemas.openxmlformats.org/officeDocument/2006/relationships" r:embed="rId1" cstate="print"/>
        <a:srcRect r="45703" b="76469"/>
        <a:stretch>
          <a:fillRect/>
        </a:stretch>
      </xdr:blipFill>
      <xdr:spPr bwMode="auto">
        <a:xfrm>
          <a:off x="992215" y="116418"/>
          <a:ext cx="2627285" cy="836083"/>
        </a:xfrm>
        <a:prstGeom prst="rect">
          <a:avLst/>
        </a:prstGeom>
        <a:noFill/>
        <a:ln w="9525">
          <a:noFill/>
          <a:miter lim="800000"/>
          <a:headEnd/>
          <a:tailEnd/>
        </a:ln>
      </xdr:spPr>
    </xdr:pic>
    <xdr:clientData/>
  </xdr:twoCellAnchor>
  <xdr:twoCellAnchor editAs="oneCell">
    <xdr:from>
      <xdr:col>1</xdr:col>
      <xdr:colOff>2291813</xdr:colOff>
      <xdr:row>0</xdr:row>
      <xdr:rowOff>105832</xdr:rowOff>
    </xdr:from>
    <xdr:to>
      <xdr:col>3</xdr:col>
      <xdr:colOff>793752</xdr:colOff>
      <xdr:row>6</xdr:row>
      <xdr:rowOff>10581</xdr:rowOff>
    </xdr:to>
    <xdr:pic>
      <xdr:nvPicPr>
        <xdr:cNvPr id="3219" name="Picture 2" descr="uu"/>
        <xdr:cNvPicPr>
          <a:picLocks noChangeAspect="1" noChangeArrowheads="1"/>
        </xdr:cNvPicPr>
      </xdr:nvPicPr>
      <xdr:blipFill>
        <a:blip xmlns:r="http://schemas.openxmlformats.org/officeDocument/2006/relationships" r:embed="rId2" cstate="print"/>
        <a:srcRect/>
        <a:stretch>
          <a:fillRect/>
        </a:stretch>
      </xdr:blipFill>
      <xdr:spPr bwMode="auto">
        <a:xfrm>
          <a:off x="3487730" y="105832"/>
          <a:ext cx="2565939" cy="857249"/>
        </a:xfrm>
        <a:prstGeom prst="rect">
          <a:avLst/>
        </a:prstGeom>
        <a:noFill/>
        <a:ln w="9525">
          <a:noFill/>
          <a:miter lim="800000"/>
          <a:headEnd/>
          <a:tailEnd/>
        </a:ln>
      </xdr:spPr>
    </xdr:pic>
    <xdr:clientData/>
  </xdr:twoCellAnchor>
  <xdr:twoCellAnchor editAs="oneCell">
    <xdr:from>
      <xdr:col>6</xdr:col>
      <xdr:colOff>306918</xdr:colOff>
      <xdr:row>1</xdr:row>
      <xdr:rowOff>137583</xdr:rowOff>
    </xdr:from>
    <xdr:to>
      <xdr:col>7</xdr:col>
      <xdr:colOff>117582</xdr:colOff>
      <xdr:row>5</xdr:row>
      <xdr:rowOff>63501</xdr:rowOff>
    </xdr:to>
    <xdr:pic>
      <xdr:nvPicPr>
        <xdr:cNvPr id="5" name="Image 4" descr="image002.jpg"/>
        <xdr:cNvPicPr>
          <a:picLocks noChangeAspect="1"/>
        </xdr:cNvPicPr>
      </xdr:nvPicPr>
      <xdr:blipFill>
        <a:blip xmlns:r="http://schemas.openxmlformats.org/officeDocument/2006/relationships" r:embed="rId3" cstate="print"/>
        <a:stretch>
          <a:fillRect/>
        </a:stretch>
      </xdr:blipFill>
      <xdr:spPr>
        <a:xfrm>
          <a:off x="8223251" y="296333"/>
          <a:ext cx="487998" cy="560918"/>
        </a:xfrm>
        <a:prstGeom prst="rect">
          <a:avLst/>
        </a:prstGeom>
      </xdr:spPr>
    </xdr:pic>
    <xdr:clientData/>
  </xdr:twoCellAnchor>
  <xdr:twoCellAnchor editAs="oneCell">
    <xdr:from>
      <xdr:col>3</xdr:col>
      <xdr:colOff>901032</xdr:colOff>
      <xdr:row>2</xdr:row>
      <xdr:rowOff>52917</xdr:rowOff>
    </xdr:from>
    <xdr:to>
      <xdr:col>6</xdr:col>
      <xdr:colOff>253150</xdr:colOff>
      <xdr:row>5</xdr:row>
      <xdr:rowOff>21664</xdr:rowOff>
    </xdr:to>
    <xdr:pic>
      <xdr:nvPicPr>
        <xdr:cNvPr id="6" name="Picture 52" descr="logoCBMRN RCRMB"/>
        <xdr:cNvPicPr>
          <a:picLocks noChangeAspect="1" noChangeArrowheads="1"/>
        </xdr:cNvPicPr>
      </xdr:nvPicPr>
      <xdr:blipFill>
        <a:blip xmlns:r="http://schemas.openxmlformats.org/officeDocument/2006/relationships" r:embed="rId4" cstate="print"/>
        <a:srcRect/>
        <a:stretch>
          <a:fillRect/>
        </a:stretch>
      </xdr:blipFill>
      <xdr:spPr bwMode="auto">
        <a:xfrm>
          <a:off x="6160949" y="370417"/>
          <a:ext cx="2008534" cy="4449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60"/>
  <sheetViews>
    <sheetView showGridLines="0" topLeftCell="A22" zoomScaleNormal="100" workbookViewId="0">
      <selection activeCell="D37" sqref="D37"/>
    </sheetView>
  </sheetViews>
  <sheetFormatPr baseColWidth="10" defaultColWidth="9.140625" defaultRowHeight="12.75"/>
  <cols>
    <col min="1" max="1" width="16.42578125" style="19" customWidth="1"/>
    <col min="2" max="2" width="11.28515625" style="19" customWidth="1"/>
    <col min="3" max="3" width="24.28515625" style="19" customWidth="1"/>
    <col min="4" max="4" width="11.42578125" style="19" customWidth="1"/>
    <col min="5" max="5" width="14" style="19" customWidth="1"/>
    <col min="6" max="6" width="8.85546875" style="19" customWidth="1"/>
    <col min="7" max="7" width="11.5703125" style="19" customWidth="1"/>
    <col min="8" max="8" width="8.85546875" style="19" customWidth="1"/>
    <col min="10" max="10" width="10.42578125" customWidth="1"/>
  </cols>
  <sheetData>
    <row r="1" spans="1:17">
      <c r="A1" s="16"/>
      <c r="B1" s="52">
        <v>1.89</v>
      </c>
      <c r="C1" s="52">
        <v>-0.47</v>
      </c>
      <c r="D1" s="52"/>
      <c r="E1" s="55">
        <f>Résultats!D24</f>
        <v>9500</v>
      </c>
      <c r="F1" s="55"/>
      <c r="G1" s="20"/>
      <c r="H1" s="20"/>
    </row>
    <row r="2" spans="1:17">
      <c r="D2" s="52"/>
      <c r="E2" s="52"/>
      <c r="F2" s="52"/>
    </row>
    <row r="3" spans="1:17">
      <c r="D3" s="52"/>
      <c r="E3" s="52"/>
      <c r="F3" s="52" t="s">
        <v>69</v>
      </c>
      <c r="G3" s="52"/>
      <c r="H3" s="52"/>
    </row>
    <row r="4" spans="1:17">
      <c r="A4" s="16" t="s">
        <v>8</v>
      </c>
      <c r="B4" s="16" t="s">
        <v>9</v>
      </c>
      <c r="C4" s="16" t="s">
        <v>10</v>
      </c>
      <c r="D4" s="52">
        <v>305</v>
      </c>
      <c r="E4" s="52"/>
      <c r="F4" s="52" t="s">
        <v>70</v>
      </c>
      <c r="G4" s="52" t="s">
        <v>71</v>
      </c>
      <c r="H4" s="52" t="s">
        <v>72</v>
      </c>
      <c r="J4" s="13"/>
      <c r="K4" s="13"/>
    </row>
    <row r="5" spans="1:17" ht="15">
      <c r="A5" s="16">
        <v>50</v>
      </c>
      <c r="B5" s="16">
        <f>LN(A5)</f>
        <v>3.912023005428146</v>
      </c>
      <c r="C5" s="16">
        <f>$B$1+$C$1*B5</f>
        <v>5.1349187448771483E-2</v>
      </c>
      <c r="D5" s="52">
        <f>C5*305</f>
        <v>15.661502171875302</v>
      </c>
      <c r="E5" s="52">
        <f>D5/$E$1*100</f>
        <v>0.1648579175986874</v>
      </c>
      <c r="F5" s="53">
        <f>Résultats!D24</f>
        <v>9500</v>
      </c>
      <c r="G5" s="52">
        <f>Résultats!D69</f>
        <v>20</v>
      </c>
      <c r="H5" s="52">
        <f>D5*G5</f>
        <v>313.23004343750603</v>
      </c>
      <c r="N5" s="12">
        <v>0</v>
      </c>
      <c r="P5" s="12">
        <v>0</v>
      </c>
      <c r="Q5" s="54"/>
    </row>
    <row r="6" spans="1:17" ht="15">
      <c r="A6" s="21">
        <v>75</v>
      </c>
      <c r="B6" s="21">
        <f t="shared" ref="B6:B16" si="0">LN(A6)</f>
        <v>4.3174881135363101</v>
      </c>
      <c r="C6" s="21">
        <f t="shared" ref="C6:C16" si="1">$B$1+$C$1*B6</f>
        <v>-0.13921941336206589</v>
      </c>
      <c r="D6" s="52">
        <f t="shared" ref="D6:D16" si="2">C6*305</f>
        <v>-42.461921075430098</v>
      </c>
      <c r="E6" s="52">
        <f t="shared" ref="E6:E16" si="3">D6/$E$1*100</f>
        <v>-0.44696759026768529</v>
      </c>
      <c r="F6" s="53">
        <f>F5</f>
        <v>9500</v>
      </c>
      <c r="G6" s="52">
        <f>Résultats!D70</f>
        <v>21</v>
      </c>
      <c r="H6" s="52">
        <f t="shared" ref="H6:H16" si="4">D6*G6</f>
        <v>-891.70034258403211</v>
      </c>
      <c r="N6" s="12">
        <v>0.02</v>
      </c>
      <c r="P6" s="12">
        <v>5.0000000000000001E-3</v>
      </c>
      <c r="Q6" s="54"/>
    </row>
    <row r="7" spans="1:17" ht="15">
      <c r="A7" s="21">
        <v>125</v>
      </c>
      <c r="B7" s="21">
        <f t="shared" si="0"/>
        <v>4.8283137373023015</v>
      </c>
      <c r="C7" s="21">
        <f t="shared" si="1"/>
        <v>-0.37930745653208153</v>
      </c>
      <c r="D7" s="52">
        <f t="shared" si="2"/>
        <v>-115.68877424228486</v>
      </c>
      <c r="E7" s="52">
        <f t="shared" si="3"/>
        <v>-1.2177765709714194</v>
      </c>
      <c r="F7" s="53">
        <f t="shared" ref="F7:F16" si="5">F6</f>
        <v>9500</v>
      </c>
      <c r="G7" s="52">
        <f>Résultats!D71</f>
        <v>10</v>
      </c>
      <c r="H7" s="52">
        <f t="shared" si="4"/>
        <v>-1156.8877424228485</v>
      </c>
      <c r="N7" s="12">
        <v>0.03</v>
      </c>
      <c r="P7" s="12">
        <v>1.4E-2</v>
      </c>
      <c r="Q7" s="54"/>
    </row>
    <row r="8" spans="1:17" ht="15">
      <c r="A8" s="21">
        <v>175</v>
      </c>
      <c r="B8" s="21">
        <f t="shared" si="0"/>
        <v>5.1647859739235145</v>
      </c>
      <c r="C8" s="21">
        <f t="shared" si="1"/>
        <v>-0.5374494077440517</v>
      </c>
      <c r="D8" s="52">
        <f t="shared" si="2"/>
        <v>-163.92206936193577</v>
      </c>
      <c r="E8" s="52">
        <f t="shared" si="3"/>
        <v>-1.7254954669677449</v>
      </c>
      <c r="F8" s="53">
        <f t="shared" si="5"/>
        <v>9500</v>
      </c>
      <c r="G8" s="52">
        <f>Résultats!D72</f>
        <v>6</v>
      </c>
      <c r="H8" s="52">
        <f t="shared" si="4"/>
        <v>-983.53241617161461</v>
      </c>
      <c r="N8" s="12">
        <v>0.04</v>
      </c>
      <c r="P8" s="12">
        <v>1.9E-2</v>
      </c>
      <c r="Q8" s="54"/>
    </row>
    <row r="9" spans="1:17" ht="15">
      <c r="A9" s="21">
        <v>225</v>
      </c>
      <c r="B9" s="21">
        <f t="shared" si="0"/>
        <v>5.4161004022044201</v>
      </c>
      <c r="C9" s="21">
        <f t="shared" si="1"/>
        <v>-0.65556718903607725</v>
      </c>
      <c r="D9" s="52">
        <f t="shared" si="2"/>
        <v>-199.94799265600355</v>
      </c>
      <c r="E9" s="52">
        <f t="shared" si="3"/>
        <v>-2.1047157121684581</v>
      </c>
      <c r="F9" s="53">
        <f t="shared" si="5"/>
        <v>9500</v>
      </c>
      <c r="G9" s="52">
        <f>Résultats!D73</f>
        <v>4</v>
      </c>
      <c r="H9" s="52">
        <f t="shared" si="4"/>
        <v>-799.7919706240142</v>
      </c>
      <c r="N9" s="12">
        <v>0.05</v>
      </c>
      <c r="P9" s="12">
        <v>2.4E-2</v>
      </c>
      <c r="Q9" s="54"/>
    </row>
    <row r="10" spans="1:17" ht="15">
      <c r="A10" s="21">
        <v>275</v>
      </c>
      <c r="B10" s="21">
        <f t="shared" si="0"/>
        <v>5.6167710976665717</v>
      </c>
      <c r="C10" s="21">
        <f t="shared" si="1"/>
        <v>-0.74988241590328886</v>
      </c>
      <c r="D10" s="52">
        <f t="shared" si="2"/>
        <v>-228.71413685050311</v>
      </c>
      <c r="E10" s="52">
        <f t="shared" si="3"/>
        <v>-2.407517230005296</v>
      </c>
      <c r="F10" s="53">
        <f t="shared" si="5"/>
        <v>9500</v>
      </c>
      <c r="G10" s="52">
        <f>Résultats!D74</f>
        <v>2</v>
      </c>
      <c r="H10" s="52">
        <f t="shared" si="4"/>
        <v>-457.42827370100622</v>
      </c>
      <c r="N10" s="12">
        <v>7.0000000000000007E-2</v>
      </c>
      <c r="P10" s="12">
        <v>2.7E-2</v>
      </c>
      <c r="Q10" s="54"/>
    </row>
    <row r="11" spans="1:17" ht="15">
      <c r="A11" s="21">
        <v>325</v>
      </c>
      <c r="B11" s="21">
        <f t="shared" si="0"/>
        <v>5.7838251823297373</v>
      </c>
      <c r="C11" s="21">
        <f t="shared" si="1"/>
        <v>-0.82839783569497638</v>
      </c>
      <c r="D11" s="52">
        <f t="shared" si="2"/>
        <v>-252.6613398869678</v>
      </c>
      <c r="E11" s="52">
        <f t="shared" si="3"/>
        <v>-2.6595930514417661</v>
      </c>
      <c r="F11" s="53">
        <f t="shared" si="5"/>
        <v>9500</v>
      </c>
      <c r="G11" s="52">
        <f>Résultats!D75</f>
        <v>1</v>
      </c>
      <c r="H11" s="52">
        <f t="shared" si="4"/>
        <v>-252.6613398869678</v>
      </c>
      <c r="N11" s="12">
        <v>0.08</v>
      </c>
      <c r="P11" s="12">
        <v>0.03</v>
      </c>
      <c r="Q11" s="54"/>
    </row>
    <row r="12" spans="1:17" ht="15">
      <c r="A12" s="21">
        <v>375</v>
      </c>
      <c r="B12" s="21">
        <f t="shared" si="0"/>
        <v>5.9269260259704106</v>
      </c>
      <c r="C12" s="21">
        <f t="shared" si="1"/>
        <v>-0.89565523220609289</v>
      </c>
      <c r="D12" s="52">
        <f t="shared" si="2"/>
        <v>-273.17484582285834</v>
      </c>
      <c r="E12" s="52">
        <f t="shared" si="3"/>
        <v>-2.8755246928721929</v>
      </c>
      <c r="F12" s="53">
        <f t="shared" si="5"/>
        <v>9500</v>
      </c>
      <c r="G12" s="52">
        <f>Résultats!D76</f>
        <v>1</v>
      </c>
      <c r="H12" s="52">
        <f t="shared" si="4"/>
        <v>-273.17484582285834</v>
      </c>
      <c r="N12" s="12">
        <v>0.11</v>
      </c>
      <c r="P12" s="12">
        <v>3.2000000000000001E-2</v>
      </c>
      <c r="Q12" s="54"/>
    </row>
    <row r="13" spans="1:17" ht="15">
      <c r="A13" s="21">
        <v>500</v>
      </c>
      <c r="B13" s="21">
        <f t="shared" si="0"/>
        <v>6.2146080984221914</v>
      </c>
      <c r="C13" s="21">
        <f t="shared" si="1"/>
        <v>-1.0308658062584299</v>
      </c>
      <c r="D13" s="52">
        <f t="shared" si="2"/>
        <v>-314.41407090882115</v>
      </c>
      <c r="E13" s="52">
        <f t="shared" si="3"/>
        <v>-3.3096217990402224</v>
      </c>
      <c r="F13" s="53">
        <f t="shared" si="5"/>
        <v>9500</v>
      </c>
      <c r="G13" s="52">
        <f>Résultats!D77</f>
        <v>5</v>
      </c>
      <c r="H13" s="52">
        <f t="shared" si="4"/>
        <v>-1572.0703545441056</v>
      </c>
      <c r="N13" s="12">
        <v>0.13</v>
      </c>
      <c r="P13" s="12">
        <v>3.6999999999999998E-2</v>
      </c>
      <c r="Q13" s="54"/>
    </row>
    <row r="14" spans="1:17">
      <c r="A14" s="21">
        <v>1000</v>
      </c>
      <c r="B14" s="21">
        <f t="shared" si="0"/>
        <v>6.9077552789821368</v>
      </c>
      <c r="C14" s="21">
        <f t="shared" si="1"/>
        <v>-1.3566449811216044</v>
      </c>
      <c r="D14" s="52">
        <f t="shared" si="2"/>
        <v>-413.77671924208931</v>
      </c>
      <c r="E14" s="52">
        <f t="shared" si="3"/>
        <v>-4.3555444130746244</v>
      </c>
      <c r="F14" s="53">
        <f t="shared" si="5"/>
        <v>9500</v>
      </c>
      <c r="G14" s="52">
        <f>Résultats!D78</f>
        <v>70</v>
      </c>
      <c r="H14" s="52">
        <f t="shared" si="4"/>
        <v>-28964.370346946253</v>
      </c>
    </row>
    <row r="15" spans="1:17">
      <c r="A15" s="21">
        <v>5000</v>
      </c>
      <c r="B15" s="21">
        <f t="shared" si="0"/>
        <v>8.5171931914162382</v>
      </c>
      <c r="C15" s="21">
        <f t="shared" si="1"/>
        <v>-2.1130807999656325</v>
      </c>
      <c r="D15" s="52">
        <f t="shared" si="2"/>
        <v>-644.48964398951796</v>
      </c>
      <c r="E15" s="52">
        <f t="shared" si="3"/>
        <v>-6.7841015156791364</v>
      </c>
      <c r="F15" s="53">
        <f t="shared" si="5"/>
        <v>9500</v>
      </c>
      <c r="G15" s="52">
        <f>Résultats!D79</f>
        <v>0</v>
      </c>
      <c r="H15" s="52">
        <f t="shared" si="4"/>
        <v>0</v>
      </c>
    </row>
    <row r="16" spans="1:17">
      <c r="A16" s="21">
        <v>8000</v>
      </c>
      <c r="B16" s="21">
        <f t="shared" si="0"/>
        <v>8.987196820661973</v>
      </c>
      <c r="C16" s="21">
        <f t="shared" si="1"/>
        <v>-2.333982505711127</v>
      </c>
      <c r="D16" s="52">
        <f t="shared" si="2"/>
        <v>-711.86466424189371</v>
      </c>
      <c r="E16" s="52">
        <f t="shared" si="3"/>
        <v>-7.4933122551778277</v>
      </c>
      <c r="F16" s="53">
        <f t="shared" si="5"/>
        <v>9500</v>
      </c>
      <c r="G16" s="52" t="e">
        <f>Résultats!#REF!</f>
        <v>#REF!</v>
      </c>
      <c r="H16" s="52" t="e">
        <f t="shared" si="4"/>
        <v>#REF!</v>
      </c>
    </row>
    <row r="17" spans="1:16">
      <c r="F17" s="52"/>
      <c r="G17" s="52"/>
      <c r="H17" s="52"/>
    </row>
    <row r="18" spans="1:16">
      <c r="A18" s="21"/>
      <c r="B18" s="21"/>
      <c r="C18" s="21"/>
      <c r="D18" s="21"/>
      <c r="E18" s="13"/>
      <c r="F18" s="52"/>
      <c r="G18" s="52" t="e">
        <f>SUM(G5:G17)</f>
        <v>#REF!</v>
      </c>
      <c r="H18" s="52" t="e">
        <f>SUM(H5:H17)</f>
        <v>#REF!</v>
      </c>
    </row>
    <row r="19" spans="1:16">
      <c r="A19" s="21"/>
      <c r="B19" s="21"/>
      <c r="C19" s="21"/>
      <c r="D19" s="21"/>
      <c r="E19" s="13"/>
      <c r="F19" s="13"/>
      <c r="G19" s="13"/>
      <c r="H19" s="13"/>
    </row>
    <row r="20" spans="1:16">
      <c r="A20" s="21"/>
      <c r="B20" s="21"/>
      <c r="C20" s="21"/>
      <c r="D20" s="21"/>
      <c r="E20" s="13"/>
      <c r="F20" s="13"/>
      <c r="G20" s="13"/>
      <c r="H20" s="13"/>
    </row>
    <row r="21" spans="1:16" ht="15">
      <c r="A21" s="17" t="s">
        <v>12</v>
      </c>
      <c r="B21" s="18">
        <v>1.32</v>
      </c>
      <c r="E21" s="13"/>
      <c r="F21" s="13"/>
      <c r="G21" s="13"/>
      <c r="H21" s="13"/>
    </row>
    <row r="22" spans="1:16">
      <c r="A22" s="21"/>
      <c r="B22" s="21"/>
      <c r="C22" s="21"/>
      <c r="D22" s="21"/>
      <c r="E22" s="13"/>
      <c r="F22" s="13"/>
      <c r="G22" s="13"/>
      <c r="H22" s="13"/>
    </row>
    <row r="23" spans="1:16">
      <c r="A23" s="21"/>
      <c r="B23" s="21"/>
      <c r="C23" s="21"/>
      <c r="D23" s="21"/>
      <c r="E23" s="13"/>
      <c r="F23" s="13"/>
      <c r="G23" s="13"/>
      <c r="H23" s="13"/>
    </row>
    <row r="24" spans="1:16">
      <c r="A24" s="21"/>
      <c r="B24" s="21"/>
      <c r="C24" s="21"/>
      <c r="D24" s="21"/>
      <c r="E24" s="13"/>
      <c r="F24" s="13"/>
      <c r="G24" s="13"/>
      <c r="H24" s="13"/>
    </row>
    <row r="25" spans="1:16">
      <c r="A25" s="22">
        <f>0.58*Résultats!D25</f>
        <v>9.338000000000001</v>
      </c>
      <c r="B25" s="21"/>
      <c r="C25" s="164" t="s">
        <v>77</v>
      </c>
      <c r="D25" s="165"/>
      <c r="E25" s="165"/>
      <c r="F25" s="165"/>
      <c r="G25" s="13"/>
      <c r="H25" s="13"/>
    </row>
    <row r="26" spans="1:16">
      <c r="A26" s="21"/>
      <c r="B26" s="21"/>
      <c r="C26" s="21"/>
      <c r="D26" s="21"/>
      <c r="E26" s="13"/>
      <c r="F26" s="13"/>
      <c r="G26" s="13"/>
      <c r="H26" s="13"/>
    </row>
    <row r="27" spans="1:16" ht="15">
      <c r="A27" s="6"/>
      <c r="B27" s="10"/>
      <c r="C27" s="10"/>
      <c r="D27" s="23"/>
      <c r="E27" s="23"/>
      <c r="F27" s="23"/>
      <c r="G27" s="23"/>
      <c r="H27" s="23"/>
      <c r="I27" s="8"/>
      <c r="J27" s="8"/>
      <c r="K27" s="8"/>
      <c r="L27" s="8"/>
      <c r="M27" s="8"/>
      <c r="N27" s="8"/>
    </row>
    <row r="28" spans="1:16" ht="15.75">
      <c r="A28" s="7"/>
      <c r="B28" s="11"/>
      <c r="C28" s="11"/>
      <c r="D28" s="163" t="s">
        <v>1</v>
      </c>
      <c r="E28" s="163"/>
      <c r="F28" s="163"/>
      <c r="G28" s="163"/>
      <c r="H28" s="163"/>
      <c r="I28" s="163"/>
      <c r="J28" s="163"/>
      <c r="K28" s="163"/>
      <c r="L28" s="163"/>
      <c r="M28" s="163"/>
      <c r="N28" s="163"/>
    </row>
    <row r="29" spans="1:16" ht="31.5">
      <c r="A29" s="24"/>
      <c r="B29" s="9"/>
      <c r="C29" s="9" t="s">
        <v>7</v>
      </c>
      <c r="D29" s="25" t="s">
        <v>2</v>
      </c>
      <c r="E29" s="25" t="s">
        <v>3</v>
      </c>
      <c r="F29" s="150" t="s">
        <v>102</v>
      </c>
      <c r="G29" s="25"/>
      <c r="H29" s="25"/>
      <c r="I29" s="25" t="s">
        <v>4</v>
      </c>
      <c r="J29" s="25" t="s">
        <v>5</v>
      </c>
      <c r="K29" s="25"/>
      <c r="L29" s="25"/>
      <c r="M29" s="25"/>
      <c r="N29" s="25" t="s">
        <v>6</v>
      </c>
      <c r="P29" s="13"/>
    </row>
    <row r="30" spans="1:16" ht="15.75">
      <c r="A30" s="5"/>
      <c r="B30" s="12">
        <v>0</v>
      </c>
      <c r="C30" s="12"/>
      <c r="D30" s="26">
        <v>0.8</v>
      </c>
      <c r="E30" s="26">
        <v>0.32</v>
      </c>
      <c r="F30" s="34">
        <f>Résultats!$D$24*Résultats!D69*Blad1!B30</f>
        <v>0</v>
      </c>
      <c r="G30" s="26"/>
      <c r="H30" s="26"/>
      <c r="I30" s="26">
        <v>0.28999999999999998</v>
      </c>
      <c r="J30" s="26">
        <v>0.16</v>
      </c>
      <c r="K30" s="26"/>
      <c r="L30" s="26"/>
      <c r="M30" s="26"/>
      <c r="N30" s="26">
        <v>0</v>
      </c>
      <c r="P30" s="13"/>
    </row>
    <row r="31" spans="1:16" ht="15.75">
      <c r="A31" s="5"/>
      <c r="B31" s="12">
        <v>5.0000000000000001E-3</v>
      </c>
      <c r="C31" s="12"/>
      <c r="D31" s="26">
        <v>0.16</v>
      </c>
      <c r="E31" s="26">
        <v>0.33</v>
      </c>
      <c r="F31" s="34">
        <f>Résultats!$D$24*Résultats!D70*Blad1!B31</f>
        <v>997.5</v>
      </c>
      <c r="G31" s="26"/>
      <c r="H31" s="26"/>
      <c r="I31" s="26">
        <v>0.3</v>
      </c>
      <c r="J31" s="26">
        <v>0.17</v>
      </c>
      <c r="K31" s="26"/>
      <c r="L31" s="26"/>
      <c r="M31" s="26"/>
      <c r="N31" s="26">
        <v>0</v>
      </c>
      <c r="P31" s="13"/>
    </row>
    <row r="32" spans="1:16" ht="15.75">
      <c r="A32" s="5"/>
      <c r="B32" s="12">
        <v>1.4999999999999999E-2</v>
      </c>
      <c r="C32" s="12"/>
      <c r="D32" s="26">
        <v>0.02</v>
      </c>
      <c r="E32" s="26">
        <v>0.15</v>
      </c>
      <c r="F32" s="34">
        <f>Résultats!$D$24*Résultats!D71*Blad1!B32</f>
        <v>1425</v>
      </c>
      <c r="G32" s="26"/>
      <c r="H32" s="26"/>
      <c r="I32" s="26">
        <v>0.14000000000000001</v>
      </c>
      <c r="J32" s="26">
        <v>0.1</v>
      </c>
      <c r="K32" s="26"/>
      <c r="L32" s="26"/>
      <c r="M32" s="26"/>
      <c r="N32" s="26">
        <v>0.01</v>
      </c>
      <c r="P32" s="13"/>
    </row>
    <row r="33" spans="1:16" ht="15.75">
      <c r="A33" s="5"/>
      <c r="B33" s="12">
        <v>0.02</v>
      </c>
      <c r="C33" s="12"/>
      <c r="D33" s="26">
        <v>0.01</v>
      </c>
      <c r="E33" s="26">
        <v>0.08</v>
      </c>
      <c r="F33" s="34">
        <f>Résultats!$D$24*Résultats!D72*Blad1!B33</f>
        <v>1140</v>
      </c>
      <c r="G33" s="26"/>
      <c r="H33" s="26"/>
      <c r="I33" s="26">
        <v>0.08</v>
      </c>
      <c r="J33" s="26">
        <v>0.05</v>
      </c>
      <c r="K33" s="26"/>
      <c r="L33" s="26"/>
      <c r="M33" s="26"/>
      <c r="N33" s="26">
        <v>0.02</v>
      </c>
      <c r="P33" s="13"/>
    </row>
    <row r="34" spans="1:16" ht="15.75">
      <c r="A34" s="5"/>
      <c r="B34" s="12">
        <v>2.4E-2</v>
      </c>
      <c r="C34" s="12"/>
      <c r="D34" s="26">
        <v>0.01</v>
      </c>
      <c r="E34" s="26">
        <v>7.0000000000000007E-2</v>
      </c>
      <c r="F34" s="34">
        <f>Résultats!$D$24*Résultats!D73*Blad1!B34</f>
        <v>912</v>
      </c>
      <c r="G34" s="26"/>
      <c r="H34" s="26"/>
      <c r="I34" s="26">
        <v>0.05</v>
      </c>
      <c r="J34" s="26">
        <v>0.06</v>
      </c>
      <c r="K34" s="26"/>
      <c r="L34" s="26"/>
      <c r="M34" s="26"/>
      <c r="N34" s="26">
        <v>0.03</v>
      </c>
      <c r="P34" s="13"/>
    </row>
    <row r="35" spans="1:16" ht="15.75">
      <c r="A35" s="5"/>
      <c r="B35" s="12">
        <v>2.7E-2</v>
      </c>
      <c r="C35" s="12"/>
      <c r="D35" s="26">
        <v>0</v>
      </c>
      <c r="E35" s="26">
        <v>0.03</v>
      </c>
      <c r="F35" s="34">
        <f>Résultats!$D$24*Résultats!D74*Blad1!B35</f>
        <v>513</v>
      </c>
      <c r="G35" s="26"/>
      <c r="H35" s="26"/>
      <c r="I35" s="26">
        <v>0.03</v>
      </c>
      <c r="J35" s="26">
        <v>0.08</v>
      </c>
      <c r="K35" s="26"/>
      <c r="L35" s="26"/>
      <c r="M35" s="26"/>
      <c r="N35" s="26">
        <v>0.05</v>
      </c>
      <c r="P35" s="13"/>
    </row>
    <row r="36" spans="1:16" ht="15.75">
      <c r="A36" s="5"/>
      <c r="B36" s="12">
        <v>0.03</v>
      </c>
      <c r="C36" s="12"/>
      <c r="D36" s="26">
        <v>0</v>
      </c>
      <c r="E36" s="26">
        <v>0.01</v>
      </c>
      <c r="F36" s="34">
        <f>Résultats!$D$24*Résultats!D75*Blad1!B36</f>
        <v>285</v>
      </c>
      <c r="G36" s="26"/>
      <c r="H36" s="26"/>
      <c r="I36" s="26">
        <v>0.02</v>
      </c>
      <c r="J36" s="26">
        <v>0.1</v>
      </c>
      <c r="K36" s="26"/>
      <c r="L36" s="26"/>
      <c r="M36" s="26"/>
      <c r="N36" s="26">
        <v>0.08</v>
      </c>
      <c r="P36" s="13"/>
    </row>
    <row r="37" spans="1:16" ht="15.75">
      <c r="A37" s="5"/>
      <c r="B37" s="12">
        <v>3.5000000000000003E-2</v>
      </c>
      <c r="C37" s="12"/>
      <c r="D37" s="26">
        <v>0</v>
      </c>
      <c r="E37" s="26">
        <v>0.01</v>
      </c>
      <c r="F37" s="34">
        <f>Résultats!$D$24*Résultats!D76*Blad1!B37</f>
        <v>332.50000000000006</v>
      </c>
      <c r="G37" s="26"/>
      <c r="H37" s="26"/>
      <c r="I37" s="26">
        <v>0.02</v>
      </c>
      <c r="J37" s="26">
        <v>0.13</v>
      </c>
      <c r="K37" s="26"/>
      <c r="L37" s="26"/>
      <c r="M37" s="26"/>
      <c r="N37" s="26">
        <v>0.15</v>
      </c>
      <c r="P37" s="13"/>
    </row>
    <row r="38" spans="1:16" ht="15.75">
      <c r="A38" s="5"/>
      <c r="B38" s="12">
        <v>0.08</v>
      </c>
      <c r="C38" s="12"/>
      <c r="D38" s="26">
        <v>0</v>
      </c>
      <c r="E38" s="26">
        <v>0</v>
      </c>
      <c r="F38" s="34">
        <f>Résultats!$D$24*Résultats!D77*Blad1!B38</f>
        <v>3800</v>
      </c>
      <c r="G38" s="26"/>
      <c r="H38" s="26"/>
      <c r="I38" s="26">
        <v>7.0000000000000007E-2</v>
      </c>
      <c r="J38" s="26">
        <v>0.15</v>
      </c>
      <c r="K38" s="26"/>
      <c r="L38" s="26"/>
      <c r="M38" s="26"/>
      <c r="N38" s="26">
        <v>0.66</v>
      </c>
      <c r="P38" s="13"/>
    </row>
    <row r="39" spans="1:16">
      <c r="F39" s="19">
        <f>SUM(F30:F38)</f>
        <v>9405</v>
      </c>
      <c r="G39" s="51">
        <f>F39*Résultats!L95</f>
        <v>0</v>
      </c>
    </row>
    <row r="40" spans="1:16">
      <c r="A40" s="35">
        <f>Résultats!D25*(Résultats!D24)*IF(OR(Résultats!D34&gt;0.2*Résultats!D25,Résultats!D42&gt;0.58*Résultats!D25),Résultats!D46+1%,Résultats!D46)*((Résultats!D51-Résultats!D52))</f>
        <v>3633.4492957191783</v>
      </c>
      <c r="B40" s="36"/>
      <c r="C40" s="36">
        <f>Résultats!C95/Résultats!$D$23</f>
        <v>51.906418510273973</v>
      </c>
      <c r="D40" s="27"/>
      <c r="E40" s="35">
        <f>Résultats!F25*(Résultats!F24)*IF(OR(Résultats!F34&gt;0.2*Résultats!F25,Résultats!F42&gt;0.58*Résultats!F25),Résultats!F46+1%,Résultats!F46)*((Résultats!F51-Résultats!F52))</f>
        <v>3582.2641032345214</v>
      </c>
      <c r="F40" s="36"/>
      <c r="G40" s="36">
        <f>Résultats!C95/Résultats!$F$23</f>
        <v>50.464573551655256</v>
      </c>
      <c r="H40" s="27"/>
    </row>
    <row r="41" spans="1:16">
      <c r="A41" s="35">
        <f>((Résultats!D24)*Résultats!D69*Blad1!B30+(Résultats!D24)*Résultats!D70*Blad1!B31+(Résultats!D24)*Résultats!D71*Blad1!B32+(Résultats!D24)*Résultats!D72*Blad1!B33+(Résultats!D24)*Résultats!D73*Blad1!B34+(Résultats!D24)*Résultats!D74*Blad1!B35+(Résultats!D24)*Résultats!D75*Blad1!B36+(Résultats!D24)*Résultats!D76*Blad1!B37+(Résultats!D24)*Résultats!D77*Blad1!B38)*((Résultats!D51-Résultats!D52))</f>
        <v>4468.4655934931507</v>
      </c>
      <c r="B41" s="36"/>
      <c r="C41" s="36">
        <f>Résultats!C96/Résultats!$D$23</f>
        <v>63.835222764187868</v>
      </c>
      <c r="D41" s="27"/>
      <c r="E41" s="35">
        <f>((Résultats!F24)*Résultats!F69*Blad1!B30+(Résultats!F24)*Résultats!F70*Blad1!B31+(Résultats!F24)*Résultats!F71*Blad1!B32+(Résultats!F24)*Résultats!F72*Blad1!B33+(Résultats!F24)*Résultats!F73*Blad1!B34+(Résultats!F24)*Résultats!F74*Blad1!B35+(Résultats!F24)*Résultats!F75*Blad1!B36+(Résultats!F24)*Résultats!F76*Blad1!B37+(Résultats!F24)*Résultats!F77*Blad1!B38)*((Résultats!F51-Résultats!D52))</f>
        <v>4304.7738921719183</v>
      </c>
      <c r="F41" s="36"/>
      <c r="G41" s="36">
        <f>Résultats!C96/Résultats!$F$23</f>
        <v>62.062022131849318</v>
      </c>
      <c r="H41" s="27"/>
    </row>
    <row r="42" spans="1:16">
      <c r="A42" s="35">
        <f>Résultats!D25*((Résultats!D24/305)*Résultats!D57*(Résultats!D51-Résultats!D52))+Résultats!D81*((Résultats!D24/305)*Résultats!D86*((Résultats!D51-Résultats!D52)))</f>
        <v>1667.812791477656</v>
      </c>
      <c r="B42" s="36"/>
      <c r="C42" s="36">
        <f>Résultats!C97/Résultats!$D$23</f>
        <v>23.82589702110937</v>
      </c>
      <c r="D42" s="27"/>
      <c r="E42" s="35">
        <f>Résultats!F25*((Résultats!F24/305)*Résultats!F57*(Résultats!F51-Résultats!F52))+Résultats!F81*((Résultats!F24/305)*Résultats!F86*((Résultats!F51-Résultats!F52)))</f>
        <v>1644.3179490256819</v>
      </c>
      <c r="F42" s="36"/>
      <c r="G42" s="36">
        <f>Résultats!C97/Résultats!$F$23</f>
        <v>23.164066548300777</v>
      </c>
      <c r="H42" s="27"/>
    </row>
    <row r="43" spans="1:16">
      <c r="A43" s="35">
        <f>Résultats!D53*Résultats!D54+Résultats!D82*Résultats!D83</f>
        <v>63.112000000000002</v>
      </c>
      <c r="B43" s="36"/>
      <c r="C43" s="36">
        <f>Résultats!C98/Résultats!$D$23</f>
        <v>0.90160000000000007</v>
      </c>
      <c r="D43" s="27"/>
      <c r="E43" s="35">
        <f>Résultats!F53*Résultats!F54+Résultats!F82*Résultats!F83</f>
        <v>64.915200000000013</v>
      </c>
      <c r="F43" s="36"/>
      <c r="G43" s="36">
        <f>Résultats!C98/Résultats!$F$23</f>
        <v>0.87655555555555553</v>
      </c>
      <c r="H43" s="27"/>
    </row>
    <row r="44" spans="1:16">
      <c r="A44" s="35">
        <f>Résultats!D45*Résultats!D56+Résultats!D81*Résultats!D85</f>
        <v>1785.1680000000003</v>
      </c>
      <c r="B44" s="36"/>
      <c r="C44" s="36">
        <f>Résultats!C99/Résultats!$D$23</f>
        <v>25.502400000000005</v>
      </c>
      <c r="D44" s="27"/>
      <c r="E44" s="35">
        <f>Résultats!F45*Résultats!F56+Résultats!F81*Résultats!F85</f>
        <v>1836.1728000000003</v>
      </c>
      <c r="F44" s="36"/>
      <c r="G44" s="36">
        <f>Résultats!C99/Résultats!$F$23</f>
        <v>24.794000000000004</v>
      </c>
      <c r="H44" s="27"/>
    </row>
    <row r="45" spans="1:16">
      <c r="A45" s="35">
        <f>Résultats!D45*(Résultats!D55/60)*Résultats!D58+Résultats!D81*(Résultats!D84/60)*Résultats!D58</f>
        <v>208.26960000000005</v>
      </c>
      <c r="B45" s="36"/>
      <c r="C45" s="36">
        <f>Résultats!C100/Résultats!$D$23</f>
        <v>2.9752800000000006</v>
      </c>
      <c r="D45" s="27"/>
      <c r="E45" s="35">
        <f>Résultats!F45*(Résultats!F55/60)*Résultats!F58+Résultats!F81*(Résultats!F84/60)*Résultats!F58</f>
        <v>214.22016000000005</v>
      </c>
      <c r="F45" s="36"/>
      <c r="G45" s="36">
        <f>Résultats!C100/Résultats!$F$23</f>
        <v>2.8926333333333343</v>
      </c>
      <c r="H45" s="27"/>
    </row>
    <row r="46" spans="1:16">
      <c r="A46" s="35">
        <f>Résultats!D89*Résultats!D90</f>
        <v>10000</v>
      </c>
      <c r="B46" s="36"/>
      <c r="C46" s="36">
        <f>Résultats!C101/Résultats!$D$23</f>
        <v>142.85714285714286</v>
      </c>
      <c r="D46" s="27"/>
      <c r="E46" s="35">
        <f>Résultats!F89*Résultats!F90</f>
        <v>10000</v>
      </c>
      <c r="F46" s="36"/>
      <c r="G46" s="36">
        <f>Résultats!C101/Résultats!$F$23</f>
        <v>138.88888888888889</v>
      </c>
      <c r="H46" s="27"/>
    </row>
    <row r="47" spans="1:16">
      <c r="A47" s="37">
        <f>SUM(A40:A46)</f>
        <v>21826.277280689981</v>
      </c>
      <c r="B47" s="38"/>
      <c r="C47" s="39">
        <f>Résultats!C102/Résultats!$D$23</f>
        <v>311.80396115271401</v>
      </c>
      <c r="D47" s="28"/>
      <c r="E47" s="37">
        <f>SUM(E40:E46)</f>
        <v>21646.664104432122</v>
      </c>
      <c r="F47" s="38"/>
      <c r="G47" s="39">
        <f>Résultats!C102/Résultats!$F$23</f>
        <v>303.14274000958306</v>
      </c>
      <c r="H47" s="28"/>
    </row>
    <row r="48" spans="1:16">
      <c r="A48" s="37">
        <f>A47/Résultats!D23</f>
        <v>311.80396115271401</v>
      </c>
      <c r="B48" s="38"/>
      <c r="C48" s="39">
        <f>Résultats!C103/Résultats!$D$23</f>
        <v>4.4543423021816286</v>
      </c>
      <c r="D48" s="28"/>
      <c r="E48" s="37">
        <f>E47/Résultats!F23</f>
        <v>300.64811256155724</v>
      </c>
      <c r="F48" s="38"/>
      <c r="G48" s="39">
        <f>Résultats!C103/Résultats!$F$23</f>
        <v>4.3306105715654724</v>
      </c>
      <c r="H48" s="28"/>
    </row>
    <row r="49" spans="1:10" ht="15.75">
      <c r="A49" s="40">
        <f>(Résultats!$C$95+(Résultats!$D$25*((Résultats!$D$24)/305)*Résultats!$D$57*((Résultats!$D$51-Résultats!$D$52)))+(Résultats!$D$53*Résultats!$D$54)+(Résultats!$D$45*Résultats!$D$56)+(Résultats!$D$45*(Résultats!$D$55/60)*Résultats!$D$58)+(Résultats!$D$89*Résultats!$D$90))/Résultats!$D$25</f>
        <v>1078.1249495153313</v>
      </c>
      <c r="B49" s="41"/>
      <c r="C49" s="42"/>
      <c r="E49" s="40">
        <f>(Résultats!$C$95+(Résultats!$F$25*((Résultats!$F$24)/305)*Résultats!$F$57*((Résultats!$F$51-Résultats!$F$52)))+(Résultats!$F$53*Résultats!$F$54)+(Résultats!$F$45*Résultats!$F$56)+(Résultats!$F$45*(Résultats!$F$55/60)*Résultats!$F$58)+(Résultats!$F$89*Résultats!$F$90))/Résultats!$F$25</f>
        <v>1050.3064857937716</v>
      </c>
      <c r="F49" s="41"/>
      <c r="G49" s="42"/>
    </row>
    <row r="52" spans="1:10">
      <c r="A52" s="13" t="s">
        <v>76</v>
      </c>
      <c r="D52" s="13" t="s">
        <v>75</v>
      </c>
    </row>
    <row r="53" spans="1:10" ht="15">
      <c r="A53" s="45">
        <f>(Résultats!$C$95)</f>
        <v>3633.4492957191783</v>
      </c>
      <c r="B53" t="s">
        <v>102</v>
      </c>
      <c r="C53" s="43">
        <f>Résultats!P95</f>
        <v>0</v>
      </c>
      <c r="D53" s="43">
        <f t="shared" ref="D53" si="6">A53-C53</f>
        <v>3633.4492957191783</v>
      </c>
    </row>
    <row r="54" spans="1:10" ht="15">
      <c r="A54" s="45">
        <f>(Résultats!$D$25*((Résultats!$D$24)/305)*Résultats!$D$57*((Résultats!$D$51-Résultats!$D$52)/100))</f>
        <v>16.678127914776557</v>
      </c>
      <c r="B54" t="s">
        <v>73</v>
      </c>
      <c r="C54" s="43">
        <f>Résultats!P97</f>
        <v>0</v>
      </c>
      <c r="D54" s="43">
        <f>A54-C54</f>
        <v>16.678127914776557</v>
      </c>
    </row>
    <row r="55" spans="1:10" ht="15">
      <c r="A55" s="45">
        <f>(Résultats!$D$53*Résultats!$D$54)</f>
        <v>63.112000000000002</v>
      </c>
      <c r="B55" t="s">
        <v>101</v>
      </c>
      <c r="C55" s="43">
        <f>Résultats!P99</f>
        <v>0</v>
      </c>
      <c r="D55" s="43">
        <f t="shared" ref="D55:D57" si="7">A55-C55</f>
        <v>63.112000000000002</v>
      </c>
    </row>
    <row r="56" spans="1:10" ht="15">
      <c r="A56" s="45">
        <f>(Résultats!$D$25*Résultats!$D$56)</f>
        <v>2318.4</v>
      </c>
      <c r="B56" t="s">
        <v>74</v>
      </c>
      <c r="C56" s="43">
        <f>Résultats!P101</f>
        <v>0</v>
      </c>
      <c r="D56" s="43">
        <f t="shared" si="7"/>
        <v>2318.4</v>
      </c>
    </row>
    <row r="57" spans="1:10" ht="15.75">
      <c r="A57" s="45">
        <f>(Résultats!$D$25*(Résultats!$D$55/60)*Résultats!$D$58)</f>
        <v>270.48</v>
      </c>
      <c r="B57" t="s">
        <v>100</v>
      </c>
      <c r="C57" s="43">
        <f>Résultats!P103</f>
        <v>0</v>
      </c>
      <c r="D57" s="43">
        <f t="shared" si="7"/>
        <v>270.48</v>
      </c>
      <c r="J57" s="40"/>
    </row>
    <row r="58" spans="1:10" ht="17.25">
      <c r="A58" s="46">
        <f>((Résultats!$D$89*Résultats!$D$90))</f>
        <v>10000</v>
      </c>
      <c r="B58" t="s">
        <v>99</v>
      </c>
      <c r="C58" s="44">
        <f>Résultats!P105</f>
        <v>0</v>
      </c>
      <c r="D58" s="44">
        <f>A58-C58</f>
        <v>10000</v>
      </c>
      <c r="J58" s="40"/>
    </row>
    <row r="59" spans="1:10" ht="15.75">
      <c r="A59" s="47">
        <f>SUM(A53:A58)</f>
        <v>16302.119423633954</v>
      </c>
      <c r="C59" s="43">
        <f>SUM(C53:C58)</f>
        <v>0</v>
      </c>
      <c r="D59" s="49">
        <f>SUM(D53:D58)</f>
        <v>16302.119423633954</v>
      </c>
      <c r="E59" s="48">
        <f>D59/Résultats!D25</f>
        <v>1012.5540014679474</v>
      </c>
      <c r="J59" s="40"/>
    </row>
    <row r="60" spans="1:10" ht="15.75">
      <c r="A60" s="47">
        <f>A59/Résultats!D25</f>
        <v>1012.5540014679474</v>
      </c>
      <c r="C60" s="48">
        <f>C59/Résultats!D25</f>
        <v>0</v>
      </c>
      <c r="D60" s="43">
        <f>A60-C60</f>
        <v>1012.5540014679474</v>
      </c>
      <c r="J60" s="40"/>
    </row>
  </sheetData>
  <sheetProtection sheet="1" objects="1" scenarios="1" selectLockedCells="1"/>
  <mergeCells count="2">
    <mergeCell ref="D28:N28"/>
    <mergeCell ref="C25:F25"/>
  </mergeCells>
  <phoneticPr fontId="2" type="noConversion"/>
  <pageMargins left="0.78740157499999996" right="0.78740157499999996" top="0.984251969" bottom="0.984251969"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Blad1"/>
  <dimension ref="A1:S626"/>
  <sheetViews>
    <sheetView showGridLines="0" showRowColHeaders="0" tabSelected="1" topLeftCell="A76" zoomScale="90" zoomScaleNormal="90" workbookViewId="0">
      <selection activeCell="D87" sqref="D87"/>
    </sheetView>
  </sheetViews>
  <sheetFormatPr baseColWidth="10" defaultColWidth="9.140625" defaultRowHeight="12.75"/>
  <cols>
    <col min="1" max="1" width="17.85546875" style="2" customWidth="1"/>
    <col min="2" max="2" width="45.5703125" customWidth="1"/>
    <col min="3" max="3" width="15.42578125" customWidth="1"/>
    <col min="4" max="4" width="16" bestFit="1" customWidth="1"/>
    <col min="5" max="5" width="3.28515625" style="1" bestFit="1" customWidth="1"/>
    <col min="6" max="6" width="20.42578125" customWidth="1"/>
    <col min="7" max="7" width="10.140625" customWidth="1"/>
    <col min="8" max="12" width="14.85546875" customWidth="1"/>
    <col min="13" max="13" width="17.140625" customWidth="1"/>
    <col min="14" max="15" width="14.85546875" customWidth="1"/>
    <col min="16" max="16" width="16.7109375" customWidth="1"/>
    <col min="19" max="19" width="12.140625" bestFit="1" customWidth="1"/>
  </cols>
  <sheetData>
    <row r="1" spans="1:15">
      <c r="A1" s="3"/>
      <c r="B1" s="3"/>
      <c r="C1" s="3"/>
      <c r="D1" s="3"/>
      <c r="E1" s="3"/>
      <c r="F1" s="3"/>
      <c r="G1" s="3"/>
      <c r="H1" s="3"/>
      <c r="I1" s="3"/>
      <c r="J1" s="3"/>
      <c r="K1" s="3"/>
      <c r="L1" s="3"/>
      <c r="M1" s="2"/>
      <c r="N1" s="2"/>
      <c r="O1" s="2"/>
    </row>
    <row r="2" spans="1:15">
      <c r="A2" s="3"/>
      <c r="B2" s="3"/>
      <c r="C2" s="3"/>
      <c r="D2" s="3"/>
      <c r="E2" s="3"/>
      <c r="F2" s="3"/>
      <c r="G2" s="3"/>
      <c r="H2" s="3"/>
      <c r="I2" s="3"/>
      <c r="J2" s="3"/>
      <c r="K2" s="3"/>
      <c r="L2" s="3"/>
      <c r="M2" s="2"/>
      <c r="N2" s="2"/>
      <c r="O2" s="2"/>
    </row>
    <row r="3" spans="1:15">
      <c r="A3" s="3"/>
      <c r="B3" s="3"/>
      <c r="C3" s="3"/>
      <c r="D3" s="3"/>
      <c r="E3" s="3"/>
      <c r="F3" s="3"/>
      <c r="G3" s="3"/>
      <c r="H3" s="3"/>
      <c r="I3" s="3"/>
      <c r="J3" s="3"/>
      <c r="K3" s="3"/>
      <c r="L3" s="3"/>
      <c r="M3" s="2"/>
      <c r="N3" s="2"/>
      <c r="O3" s="2"/>
    </row>
    <row r="4" spans="1:15">
      <c r="A4" s="3"/>
      <c r="B4" s="3"/>
      <c r="C4" s="3"/>
      <c r="D4" s="3"/>
      <c r="E4" s="3"/>
      <c r="F4" s="3"/>
      <c r="G4" s="3"/>
      <c r="H4" s="3"/>
      <c r="I4" s="3"/>
      <c r="J4" s="3"/>
      <c r="K4" s="3"/>
      <c r="L4" s="3"/>
      <c r="M4" s="2"/>
      <c r="N4" s="2"/>
      <c r="O4" s="2"/>
    </row>
    <row r="5" spans="1:15">
      <c r="A5" s="3"/>
      <c r="B5" s="3"/>
      <c r="C5" s="3"/>
      <c r="D5" s="3"/>
      <c r="E5" s="3"/>
      <c r="F5" s="3"/>
      <c r="G5" s="3"/>
      <c r="H5" s="3"/>
      <c r="I5" s="3"/>
      <c r="J5" s="3"/>
      <c r="K5" s="3"/>
      <c r="L5" s="3"/>
      <c r="M5" s="2"/>
      <c r="N5" s="2"/>
      <c r="O5" s="2"/>
    </row>
    <row r="6" spans="1:15">
      <c r="A6" s="3"/>
      <c r="B6" s="3"/>
      <c r="C6" s="3"/>
      <c r="D6" s="3"/>
      <c r="E6" s="3"/>
      <c r="F6" s="3"/>
      <c r="G6" s="3"/>
      <c r="H6" s="3"/>
      <c r="I6" s="3"/>
      <c r="J6" s="3"/>
      <c r="K6" s="3"/>
      <c r="L6" s="3"/>
      <c r="M6" s="2"/>
      <c r="N6" s="2"/>
      <c r="O6" s="2"/>
    </row>
    <row r="7" spans="1:15" ht="19.5">
      <c r="A7" s="3"/>
      <c r="B7" s="166" t="s">
        <v>89</v>
      </c>
      <c r="C7" s="166"/>
      <c r="D7" s="166"/>
      <c r="E7" s="166"/>
      <c r="F7" s="166"/>
      <c r="G7" s="167"/>
      <c r="H7" s="3"/>
      <c r="I7" s="3"/>
      <c r="J7" s="3"/>
      <c r="K7" s="3"/>
      <c r="L7" s="3"/>
      <c r="M7" s="2"/>
      <c r="N7" s="2"/>
      <c r="O7" s="2"/>
    </row>
    <row r="8" spans="1:15" ht="19.5">
      <c r="A8" s="3"/>
      <c r="B8" s="166" t="s">
        <v>88</v>
      </c>
      <c r="C8" s="165"/>
      <c r="D8" s="165"/>
      <c r="E8" s="165"/>
      <c r="F8" s="165"/>
      <c r="G8" s="165"/>
      <c r="H8" s="3"/>
      <c r="I8" s="3"/>
      <c r="J8" s="3"/>
      <c r="K8" s="3"/>
      <c r="L8" s="3"/>
      <c r="M8" s="2"/>
      <c r="N8" s="2"/>
      <c r="O8" s="2"/>
    </row>
    <row r="9" spans="1:15" s="50" customFormat="1" ht="15" customHeight="1">
      <c r="A9" s="70"/>
      <c r="B9" s="171" t="s">
        <v>13</v>
      </c>
      <c r="C9" s="171"/>
      <c r="D9" s="171"/>
      <c r="E9" s="171"/>
      <c r="F9" s="171"/>
      <c r="G9" s="171"/>
      <c r="H9" s="56"/>
      <c r="I9" s="56"/>
      <c r="J9" s="56"/>
      <c r="K9" s="56"/>
      <c r="L9" s="56"/>
      <c r="M9" s="58"/>
      <c r="N9" s="71"/>
      <c r="O9" s="71"/>
    </row>
    <row r="10" spans="1:15" ht="15" customHeight="1">
      <c r="A10" s="3"/>
      <c r="B10" s="171" t="s">
        <v>95</v>
      </c>
      <c r="C10" s="171"/>
      <c r="D10" s="171"/>
      <c r="E10" s="171"/>
      <c r="F10" s="171"/>
      <c r="G10" s="171"/>
      <c r="H10" s="31"/>
      <c r="I10" s="31"/>
      <c r="J10" s="31"/>
      <c r="K10" s="31"/>
      <c r="L10" s="31"/>
      <c r="M10" s="30"/>
      <c r="N10" s="2"/>
      <c r="O10" s="2"/>
    </row>
    <row r="11" spans="1:15" ht="15" customHeight="1">
      <c r="A11" s="3"/>
      <c r="B11" s="172" t="s">
        <v>91</v>
      </c>
      <c r="C11" s="171"/>
      <c r="D11" s="171"/>
      <c r="E11" s="171"/>
      <c r="F11" s="171"/>
      <c r="G11" s="171"/>
      <c r="H11" s="31"/>
      <c r="I11" s="31"/>
      <c r="J11" s="31"/>
      <c r="K11" s="31"/>
      <c r="L11" s="31"/>
      <c r="M11" s="30"/>
      <c r="N11" s="2"/>
      <c r="O11" s="2"/>
    </row>
    <row r="12" spans="1:15" ht="15" customHeight="1">
      <c r="A12" s="3"/>
      <c r="B12" s="172" t="s">
        <v>92</v>
      </c>
      <c r="C12" s="172"/>
      <c r="D12" s="172"/>
      <c r="E12" s="172"/>
      <c r="F12" s="172"/>
      <c r="G12" s="172"/>
      <c r="H12" s="31"/>
      <c r="I12" s="31"/>
      <c r="J12" s="31"/>
      <c r="K12" s="31"/>
      <c r="L12" s="31"/>
      <c r="M12" s="30"/>
      <c r="N12" s="2"/>
      <c r="O12" s="2"/>
    </row>
    <row r="13" spans="1:15" ht="15" customHeight="1">
      <c r="A13" s="3"/>
      <c r="B13" s="171" t="s">
        <v>90</v>
      </c>
      <c r="C13" s="173"/>
      <c r="D13" s="173"/>
      <c r="E13" s="173"/>
      <c r="F13" s="173"/>
      <c r="G13" s="173"/>
      <c r="H13" s="31"/>
      <c r="I13" s="31"/>
      <c r="J13" s="31"/>
      <c r="K13" s="31"/>
      <c r="L13" s="31"/>
      <c r="M13" s="30"/>
      <c r="N13" s="2"/>
      <c r="O13" s="2"/>
    </row>
    <row r="14" spans="1:15" ht="15" customHeight="1">
      <c r="A14" s="3"/>
      <c r="B14" s="94"/>
      <c r="C14" s="140"/>
      <c r="D14" s="140"/>
      <c r="E14" s="140"/>
      <c r="F14" s="140"/>
      <c r="G14" s="140"/>
      <c r="H14" s="31"/>
      <c r="I14" s="31"/>
      <c r="J14" s="31"/>
      <c r="K14" s="31"/>
      <c r="L14" s="31"/>
      <c r="M14" s="30"/>
      <c r="N14" s="2"/>
      <c r="O14" s="2"/>
    </row>
    <row r="15" spans="1:15">
      <c r="A15" s="3"/>
      <c r="B15" s="146" t="s">
        <v>79</v>
      </c>
      <c r="C15" s="146"/>
      <c r="D15" s="146"/>
      <c r="E15" s="146"/>
      <c r="F15" s="146"/>
      <c r="G15" s="113"/>
      <c r="H15" s="147"/>
      <c r="I15" s="31"/>
      <c r="J15" s="31"/>
      <c r="K15" s="31"/>
      <c r="L15" s="31"/>
      <c r="M15" s="30"/>
      <c r="N15" s="2"/>
      <c r="O15" s="2"/>
    </row>
    <row r="16" spans="1:15" ht="15.75">
      <c r="A16" s="3"/>
      <c r="B16" s="170" t="s">
        <v>97</v>
      </c>
      <c r="C16" s="170"/>
      <c r="D16" s="170"/>
      <c r="E16" s="170"/>
      <c r="F16" s="170"/>
      <c r="G16" s="113"/>
      <c r="H16" s="147"/>
      <c r="I16" s="31"/>
      <c r="J16" s="31"/>
      <c r="K16" s="31"/>
      <c r="L16" s="31"/>
      <c r="M16" s="30"/>
      <c r="N16" s="2"/>
      <c r="O16" s="2"/>
    </row>
    <row r="17" spans="1:15">
      <c r="A17" s="3"/>
      <c r="B17" s="113"/>
      <c r="C17" s="113" t="s">
        <v>94</v>
      </c>
      <c r="D17" s="113"/>
      <c r="E17" s="113"/>
      <c r="F17" s="113"/>
      <c r="G17" s="113"/>
      <c r="H17" s="147"/>
      <c r="I17" s="31"/>
      <c r="J17" s="31"/>
      <c r="K17" s="31"/>
      <c r="L17" s="31"/>
      <c r="M17" s="30"/>
      <c r="N17" s="2"/>
      <c r="O17" s="2"/>
    </row>
    <row r="18" spans="1:15" ht="15">
      <c r="A18" s="3"/>
      <c r="B18" s="82"/>
      <c r="C18" s="83" t="s">
        <v>68</v>
      </c>
      <c r="D18" s="82"/>
      <c r="E18" s="82"/>
      <c r="F18" s="82"/>
      <c r="G18" s="84"/>
      <c r="H18" s="31"/>
      <c r="I18" s="31"/>
      <c r="J18" s="31"/>
      <c r="K18" s="31"/>
      <c r="L18" s="31"/>
      <c r="M18" s="30"/>
      <c r="N18" s="2"/>
      <c r="O18" s="2"/>
    </row>
    <row r="19" spans="1:15" ht="15">
      <c r="A19" s="3"/>
      <c r="B19" s="82"/>
      <c r="C19" s="83" t="s">
        <v>67</v>
      </c>
      <c r="D19" s="82"/>
      <c r="E19" s="82"/>
      <c r="F19" s="82"/>
      <c r="G19" s="85"/>
      <c r="H19" s="31"/>
      <c r="I19" s="31"/>
      <c r="J19" s="31"/>
      <c r="K19" s="31"/>
      <c r="L19" s="31"/>
      <c r="M19" s="30"/>
      <c r="N19" s="2"/>
      <c r="O19" s="2"/>
    </row>
    <row r="20" spans="1:15" ht="15">
      <c r="A20" s="3"/>
      <c r="B20" s="82"/>
      <c r="C20" s="83"/>
      <c r="D20" s="82"/>
      <c r="E20" s="82"/>
      <c r="F20" s="82"/>
      <c r="G20" s="85"/>
      <c r="H20" s="31"/>
      <c r="I20" s="31"/>
      <c r="J20" s="31"/>
      <c r="K20" s="31"/>
      <c r="L20" s="31"/>
      <c r="M20" s="30"/>
      <c r="N20" s="2"/>
      <c r="O20" s="2"/>
    </row>
    <row r="21" spans="1:15" ht="15.75">
      <c r="A21" s="3"/>
      <c r="B21" s="87" t="s">
        <v>24</v>
      </c>
      <c r="C21" s="85"/>
      <c r="D21" s="86"/>
      <c r="E21" s="86"/>
      <c r="F21" s="113"/>
      <c r="G21" s="85"/>
      <c r="H21" s="31"/>
      <c r="I21" s="31"/>
      <c r="J21" s="31"/>
      <c r="K21" s="31"/>
      <c r="L21" s="31"/>
      <c r="M21" s="30"/>
      <c r="N21" s="2"/>
      <c r="O21" s="2"/>
    </row>
    <row r="22" spans="1:15" ht="15">
      <c r="A22" s="3"/>
      <c r="B22" s="88"/>
      <c r="C22" s="85"/>
      <c r="D22" s="89" t="s">
        <v>14</v>
      </c>
      <c r="E22" s="90"/>
      <c r="F22" s="113" t="s">
        <v>87</v>
      </c>
      <c r="G22" s="91"/>
      <c r="H22" s="29"/>
      <c r="I22" s="29"/>
      <c r="J22" s="29"/>
      <c r="K22" s="29"/>
      <c r="L22" s="29"/>
      <c r="M22" s="30"/>
      <c r="N22" s="2"/>
      <c r="O22" s="2"/>
    </row>
    <row r="23" spans="1:15" ht="15">
      <c r="A23" s="3"/>
      <c r="B23" s="88" t="s">
        <v>15</v>
      </c>
      <c r="C23" s="92"/>
      <c r="D23" s="118">
        <v>70</v>
      </c>
      <c r="E23" s="130" t="s">
        <v>0</v>
      </c>
      <c r="F23" s="154">
        <v>72</v>
      </c>
      <c r="G23" s="123" t="s">
        <v>0</v>
      </c>
      <c r="H23" s="29"/>
      <c r="I23" s="29"/>
      <c r="J23" s="29"/>
      <c r="K23" s="29"/>
      <c r="L23" s="29"/>
      <c r="M23" s="30"/>
      <c r="N23" s="2"/>
      <c r="O23" s="2"/>
    </row>
    <row r="24" spans="1:15" ht="15">
      <c r="A24" s="3"/>
      <c r="B24" s="88" t="s">
        <v>16</v>
      </c>
      <c r="C24" s="92"/>
      <c r="D24" s="119">
        <v>9500</v>
      </c>
      <c r="E24" s="130" t="s">
        <v>0</v>
      </c>
      <c r="F24" s="121">
        <v>9106</v>
      </c>
      <c r="G24" s="120" t="s">
        <v>0</v>
      </c>
      <c r="H24" s="29"/>
      <c r="I24" s="29"/>
      <c r="J24" s="29"/>
      <c r="K24" s="29"/>
      <c r="L24" s="29"/>
      <c r="M24" s="30"/>
      <c r="N24" s="2"/>
      <c r="O24" s="2"/>
    </row>
    <row r="25" spans="1:15" ht="15">
      <c r="A25" s="3"/>
      <c r="B25" s="88" t="s">
        <v>17</v>
      </c>
      <c r="C25" s="92" t="s">
        <v>11</v>
      </c>
      <c r="D25" s="118">
        <f>0.23*D23</f>
        <v>16.100000000000001</v>
      </c>
      <c r="E25" s="120" t="s">
        <v>0</v>
      </c>
      <c r="F25" s="122">
        <f>0.23*F23</f>
        <v>16.560000000000002</v>
      </c>
      <c r="G25" s="91"/>
      <c r="H25" s="29"/>
      <c r="I25" s="29"/>
      <c r="J25" s="29"/>
      <c r="K25" s="29"/>
      <c r="L25" s="29"/>
      <c r="M25" s="30"/>
      <c r="N25" s="2"/>
      <c r="O25" s="2"/>
    </row>
    <row r="26" spans="1:15" ht="15">
      <c r="A26" s="3"/>
      <c r="B26" s="81"/>
      <c r="C26" s="92"/>
      <c r="D26" s="93"/>
      <c r="E26" s="95"/>
      <c r="F26" s="96"/>
      <c r="G26" s="96"/>
      <c r="H26" s="29"/>
      <c r="I26" s="29"/>
      <c r="J26" s="29"/>
      <c r="K26" s="29"/>
      <c r="L26" s="29"/>
      <c r="M26" s="30"/>
      <c r="N26" s="2"/>
      <c r="O26" s="2"/>
    </row>
    <row r="27" spans="1:15" ht="15">
      <c r="A27" s="3"/>
      <c r="B27" s="88" t="s">
        <v>78</v>
      </c>
      <c r="C27" s="92"/>
      <c r="D27" s="93"/>
      <c r="E27" s="95"/>
      <c r="F27" s="96"/>
      <c r="G27" s="96"/>
      <c r="H27" s="29"/>
      <c r="I27" s="29"/>
      <c r="J27" s="29"/>
      <c r="K27" s="29"/>
      <c r="L27" s="29"/>
      <c r="M27" s="30"/>
      <c r="N27" s="2"/>
      <c r="O27" s="2"/>
    </row>
    <row r="28" spans="1:15" ht="15">
      <c r="A28" s="3"/>
      <c r="B28" s="92" t="s">
        <v>80</v>
      </c>
      <c r="C28" s="92"/>
      <c r="D28" s="93"/>
      <c r="E28" s="95"/>
      <c r="F28" s="96"/>
      <c r="G28" s="96"/>
      <c r="H28" s="29"/>
      <c r="I28" s="29"/>
      <c r="J28" s="29"/>
      <c r="K28" s="29"/>
      <c r="L28" s="29"/>
      <c r="M28" s="30"/>
      <c r="N28" s="2"/>
      <c r="O28" s="2"/>
    </row>
    <row r="29" spans="1:15" ht="15">
      <c r="A29" s="3"/>
      <c r="B29" s="92" t="s">
        <v>96</v>
      </c>
      <c r="C29" s="92"/>
      <c r="D29" s="93"/>
      <c r="E29" s="95"/>
      <c r="F29" s="96"/>
      <c r="G29" s="96"/>
      <c r="H29" s="29"/>
      <c r="I29" s="29"/>
      <c r="J29" s="29"/>
      <c r="K29" s="29"/>
      <c r="L29" s="29"/>
      <c r="M29" s="30"/>
      <c r="N29" s="2"/>
      <c r="O29" s="2"/>
    </row>
    <row r="30" spans="1:15" ht="15">
      <c r="A30" s="3"/>
      <c r="B30" s="92"/>
      <c r="C30" s="92"/>
      <c r="D30" s="93"/>
      <c r="E30" s="95"/>
      <c r="F30" s="96"/>
      <c r="G30" s="96"/>
      <c r="H30" s="29"/>
      <c r="I30" s="29"/>
      <c r="J30" s="29"/>
      <c r="K30" s="29"/>
      <c r="L30" s="29"/>
      <c r="M30" s="30"/>
      <c r="N30" s="2"/>
      <c r="O30" s="2"/>
    </row>
    <row r="31" spans="1:15" ht="15">
      <c r="A31" s="3"/>
      <c r="B31" s="85"/>
      <c r="C31" s="92" t="s">
        <v>50</v>
      </c>
      <c r="D31" s="118">
        <f>0.06*D25</f>
        <v>0.96600000000000008</v>
      </c>
      <c r="E31" s="124" t="s">
        <v>0</v>
      </c>
      <c r="F31" s="122">
        <f>0.06*F25</f>
        <v>0.99360000000000015</v>
      </c>
      <c r="G31" s="91"/>
      <c r="H31" s="29"/>
      <c r="I31" s="29"/>
      <c r="J31" s="29"/>
      <c r="K31" s="29"/>
      <c r="L31" s="29"/>
      <c r="M31" s="30"/>
      <c r="N31" s="2"/>
      <c r="O31" s="2"/>
    </row>
    <row r="32" spans="1:15" ht="15">
      <c r="A32" s="3"/>
      <c r="B32" s="88"/>
      <c r="C32" s="92" t="s">
        <v>63</v>
      </c>
      <c r="D32" s="118">
        <f>0.05*D25</f>
        <v>0.80500000000000016</v>
      </c>
      <c r="E32" s="120" t="s">
        <v>0</v>
      </c>
      <c r="F32" s="122">
        <f>0.05*F25</f>
        <v>0.82800000000000018</v>
      </c>
      <c r="G32" s="91"/>
      <c r="H32" s="29"/>
      <c r="I32" s="29"/>
      <c r="J32" s="29"/>
      <c r="K32" s="29"/>
      <c r="L32" s="29"/>
      <c r="M32" s="30"/>
      <c r="N32" s="2"/>
      <c r="O32" s="2"/>
    </row>
    <row r="33" spans="1:15" ht="15">
      <c r="A33" s="3"/>
      <c r="B33" s="88"/>
      <c r="C33" s="92" t="s">
        <v>51</v>
      </c>
      <c r="D33" s="118">
        <f>0.04*D25</f>
        <v>0.64400000000000002</v>
      </c>
      <c r="E33" s="120" t="s">
        <v>0</v>
      </c>
      <c r="F33" s="122">
        <f>0.04*F25</f>
        <v>0.6624000000000001</v>
      </c>
      <c r="G33" s="91"/>
      <c r="H33" s="29"/>
      <c r="I33" s="29"/>
      <c r="J33" s="29"/>
      <c r="K33" s="29"/>
      <c r="L33" s="29"/>
      <c r="M33" s="30"/>
      <c r="N33" s="2"/>
      <c r="O33" s="2"/>
    </row>
    <row r="34" spans="1:15" ht="15">
      <c r="A34" s="3"/>
      <c r="B34" s="88"/>
      <c r="C34" s="92" t="s">
        <v>52</v>
      </c>
      <c r="D34" s="118">
        <f>0.1*D25</f>
        <v>1.6100000000000003</v>
      </c>
      <c r="E34" s="120" t="s">
        <v>0</v>
      </c>
      <c r="F34" s="122">
        <f>0.1*F25</f>
        <v>1.6560000000000004</v>
      </c>
      <c r="G34" s="91"/>
      <c r="H34" s="29"/>
      <c r="I34" s="29"/>
      <c r="J34" s="29"/>
      <c r="K34" s="29"/>
      <c r="L34" s="29"/>
      <c r="M34" s="30"/>
      <c r="N34" s="2"/>
      <c r="O34" s="2"/>
    </row>
    <row r="35" spans="1:15" ht="15">
      <c r="A35" s="3"/>
      <c r="B35" s="88"/>
      <c r="C35" s="92" t="s">
        <v>53</v>
      </c>
      <c r="D35" s="118">
        <f>0.08*D25</f>
        <v>1.288</v>
      </c>
      <c r="E35" s="120" t="s">
        <v>0</v>
      </c>
      <c r="F35" s="122">
        <f>0.08*F25</f>
        <v>1.3248000000000002</v>
      </c>
      <c r="G35" s="91"/>
      <c r="H35" s="29"/>
      <c r="I35" s="29"/>
      <c r="J35" s="29"/>
      <c r="K35" s="29"/>
      <c r="L35" s="29"/>
      <c r="M35" s="30"/>
      <c r="N35" s="2"/>
      <c r="O35" s="2"/>
    </row>
    <row r="36" spans="1:15" ht="15">
      <c r="A36" s="3"/>
      <c r="B36" s="88"/>
      <c r="C36" s="92" t="s">
        <v>49</v>
      </c>
      <c r="D36" s="118">
        <f>D25-(SUM(D31:D35))</f>
        <v>10.787000000000001</v>
      </c>
      <c r="E36" s="120" t="s">
        <v>0</v>
      </c>
      <c r="F36" s="122">
        <f>F25-(SUM(F31:F35))</f>
        <v>11.095200000000002</v>
      </c>
      <c r="G36" s="91"/>
      <c r="H36" s="29"/>
      <c r="I36" s="29"/>
      <c r="J36" s="29"/>
      <c r="K36" s="29"/>
      <c r="L36" s="29"/>
      <c r="M36" s="30"/>
      <c r="N36" s="2"/>
      <c r="O36" s="2"/>
    </row>
    <row r="37" spans="1:15" ht="15">
      <c r="A37" s="3"/>
      <c r="B37" s="88"/>
      <c r="C37" s="92"/>
      <c r="D37" s="93"/>
      <c r="E37" s="95"/>
      <c r="F37" s="96"/>
      <c r="G37" s="96"/>
      <c r="H37" s="29"/>
      <c r="I37" s="29"/>
      <c r="J37" s="29"/>
      <c r="K37" s="29"/>
      <c r="L37" s="29"/>
      <c r="M37" s="30"/>
      <c r="N37" s="2"/>
      <c r="O37" s="2"/>
    </row>
    <row r="38" spans="1:15" ht="15">
      <c r="A38" s="3"/>
      <c r="B38" s="92" t="s">
        <v>81</v>
      </c>
      <c r="C38" s="92"/>
      <c r="D38" s="93"/>
      <c r="E38" s="95"/>
      <c r="F38" s="96"/>
      <c r="G38" s="96"/>
      <c r="H38" s="29"/>
      <c r="I38" s="29"/>
      <c r="J38" s="29"/>
      <c r="K38" s="29"/>
      <c r="L38" s="29"/>
      <c r="M38" s="30"/>
      <c r="N38" s="2"/>
      <c r="O38" s="2"/>
    </row>
    <row r="39" spans="1:15" ht="15">
      <c r="A39" s="3"/>
      <c r="B39" s="92" t="s">
        <v>82</v>
      </c>
      <c r="C39" s="92"/>
      <c r="D39" s="93"/>
      <c r="E39" s="95"/>
      <c r="F39" s="96"/>
      <c r="G39" s="96"/>
      <c r="H39" s="8"/>
      <c r="I39" s="8"/>
      <c r="J39" s="8"/>
      <c r="K39" s="8"/>
      <c r="L39" s="8"/>
      <c r="M39" s="2"/>
      <c r="N39" s="2"/>
      <c r="O39" s="2"/>
    </row>
    <row r="40" spans="1:15" ht="14.25">
      <c r="A40" s="3"/>
      <c r="B40" s="92" t="s">
        <v>83</v>
      </c>
      <c r="C40" s="92"/>
      <c r="D40" s="93"/>
      <c r="E40" s="95"/>
      <c r="F40" s="97"/>
      <c r="G40" s="97"/>
      <c r="H40" s="8"/>
      <c r="I40" s="8"/>
      <c r="J40" s="8"/>
      <c r="K40" s="8"/>
      <c r="L40" s="8"/>
      <c r="M40" s="2"/>
      <c r="N40" s="2"/>
      <c r="O40" s="2"/>
    </row>
    <row r="41" spans="1:15" ht="15">
      <c r="A41" s="3"/>
      <c r="B41" s="88"/>
      <c r="C41" s="92"/>
      <c r="D41" s="93"/>
      <c r="E41" s="89"/>
      <c r="F41" s="91"/>
      <c r="G41" s="91"/>
      <c r="H41" s="8"/>
      <c r="I41" s="8"/>
      <c r="J41" s="8"/>
      <c r="K41" s="8"/>
      <c r="L41" s="8"/>
      <c r="M41" s="2"/>
      <c r="N41" s="2"/>
      <c r="O41" s="2"/>
    </row>
    <row r="42" spans="1:15" ht="15">
      <c r="A42" s="3"/>
      <c r="B42" s="88" t="s">
        <v>18</v>
      </c>
      <c r="C42" s="92"/>
      <c r="D42" s="118">
        <f>0.34*D25</f>
        <v>5.4740000000000011</v>
      </c>
      <c r="E42" s="130" t="s">
        <v>0</v>
      </c>
      <c r="F42" s="122">
        <f>0.34*F25</f>
        <v>5.6304000000000007</v>
      </c>
      <c r="G42" s="98"/>
      <c r="H42" s="8"/>
      <c r="I42" s="8"/>
      <c r="J42" s="8"/>
      <c r="K42" s="8"/>
      <c r="L42" s="8"/>
      <c r="M42" s="2"/>
      <c r="N42" s="2"/>
      <c r="O42" s="2"/>
    </row>
    <row r="43" spans="1:15" ht="14.25">
      <c r="A43" s="3"/>
      <c r="B43" s="88" t="s">
        <v>19</v>
      </c>
      <c r="C43" s="92"/>
      <c r="D43" s="118">
        <f>D25-D42</f>
        <v>10.626000000000001</v>
      </c>
      <c r="E43" s="131" t="s">
        <v>0</v>
      </c>
      <c r="F43" s="122">
        <f>F25-F42</f>
        <v>10.929600000000001</v>
      </c>
      <c r="G43" s="91"/>
      <c r="H43" s="8"/>
      <c r="I43" s="8"/>
      <c r="J43" s="8"/>
      <c r="K43" s="8"/>
      <c r="L43" s="8"/>
      <c r="M43" s="2"/>
      <c r="N43" s="2"/>
      <c r="O43" s="2"/>
    </row>
    <row r="44" spans="1:15" ht="15">
      <c r="A44" s="3"/>
      <c r="B44" s="88"/>
      <c r="C44" s="92"/>
      <c r="D44" s="93"/>
      <c r="E44" s="89"/>
      <c r="F44" s="91"/>
      <c r="G44" s="91"/>
      <c r="H44" s="8"/>
      <c r="I44" s="8"/>
      <c r="J44" s="8"/>
      <c r="K44" s="8"/>
      <c r="L44" s="8"/>
      <c r="M44" s="2"/>
      <c r="N44" s="2"/>
      <c r="O44" s="2"/>
    </row>
    <row r="45" spans="1:15" ht="15">
      <c r="A45" s="3"/>
      <c r="B45" s="88" t="s">
        <v>28</v>
      </c>
      <c r="C45" s="92"/>
      <c r="D45" s="118">
        <f>0.77*D25</f>
        <v>12.397000000000002</v>
      </c>
      <c r="E45" s="130" t="s">
        <v>0</v>
      </c>
      <c r="F45" s="122">
        <f>0.77*F25</f>
        <v>12.751200000000003</v>
      </c>
      <c r="G45" s="97"/>
      <c r="H45" s="8"/>
      <c r="I45" s="8"/>
      <c r="J45" s="8"/>
      <c r="K45" s="8"/>
      <c r="L45" s="8"/>
      <c r="M45" s="2"/>
      <c r="N45" s="2"/>
      <c r="O45" s="2"/>
    </row>
    <row r="46" spans="1:15" ht="15">
      <c r="A46" s="3"/>
      <c r="B46" s="88" t="s">
        <v>39</v>
      </c>
      <c r="C46" s="92"/>
      <c r="D46" s="125">
        <v>0.05</v>
      </c>
      <c r="E46" s="130" t="s">
        <v>0</v>
      </c>
      <c r="F46" s="127">
        <v>0.05</v>
      </c>
      <c r="G46" s="97"/>
      <c r="H46" s="8"/>
      <c r="I46" s="8"/>
      <c r="J46" s="8"/>
      <c r="K46" s="8"/>
      <c r="L46" s="8"/>
      <c r="M46" s="2"/>
      <c r="N46" s="2"/>
      <c r="O46" s="2"/>
    </row>
    <row r="47" spans="1:15" ht="14.25">
      <c r="A47" s="3"/>
      <c r="B47" s="92" t="s">
        <v>103</v>
      </c>
      <c r="C47" s="92"/>
      <c r="D47" s="126">
        <v>77</v>
      </c>
      <c r="E47" s="131" t="s">
        <v>0</v>
      </c>
      <c r="F47" s="128">
        <v>77</v>
      </c>
      <c r="G47" s="97"/>
      <c r="H47" s="8"/>
      <c r="I47" s="8"/>
      <c r="J47" s="8"/>
      <c r="K47" s="8"/>
      <c r="L47" s="8"/>
      <c r="M47" s="2"/>
      <c r="N47" s="2"/>
      <c r="O47" s="2"/>
    </row>
    <row r="48" spans="1:15" ht="14.25">
      <c r="A48" s="3"/>
      <c r="B48" s="92" t="s">
        <v>104</v>
      </c>
      <c r="C48" s="92"/>
      <c r="D48" s="126">
        <v>4.3499999999999996</v>
      </c>
      <c r="E48" s="131"/>
      <c r="F48" s="128">
        <v>4.3499999999999996</v>
      </c>
      <c r="G48" s="97"/>
      <c r="H48" s="8"/>
      <c r="I48" s="8"/>
      <c r="J48" s="8"/>
      <c r="K48" s="8"/>
      <c r="L48" s="8"/>
      <c r="M48" s="2"/>
      <c r="N48" s="2"/>
      <c r="O48" s="2"/>
    </row>
    <row r="49" spans="1:15" ht="14.25">
      <c r="A49" s="3"/>
      <c r="B49" s="92" t="s">
        <v>105</v>
      </c>
      <c r="C49" s="92"/>
      <c r="D49" s="118">
        <v>25000</v>
      </c>
      <c r="E49" s="131"/>
      <c r="F49" s="122">
        <v>25000</v>
      </c>
      <c r="G49" s="97"/>
      <c r="H49" s="8"/>
      <c r="I49" s="8"/>
      <c r="J49" s="8"/>
      <c r="K49" s="8"/>
      <c r="L49" s="8"/>
      <c r="M49" s="2"/>
      <c r="N49" s="2"/>
      <c r="O49" s="2"/>
    </row>
    <row r="50" spans="1:15" ht="12.75" customHeight="1">
      <c r="A50" s="3"/>
      <c r="B50" s="92" t="s">
        <v>106</v>
      </c>
      <c r="C50" s="92"/>
      <c r="D50" s="151">
        <v>0.04</v>
      </c>
      <c r="E50" s="131"/>
      <c r="F50" s="152">
        <v>0.04</v>
      </c>
      <c r="G50" s="97"/>
      <c r="H50" s="8"/>
      <c r="I50" s="8"/>
      <c r="J50" s="8"/>
      <c r="K50" s="8"/>
      <c r="L50" s="8"/>
      <c r="M50" s="2"/>
      <c r="N50" s="2"/>
      <c r="O50" s="2"/>
    </row>
    <row r="51" spans="1:15" ht="14.25" hidden="1">
      <c r="A51" s="3"/>
      <c r="B51" s="92" t="s">
        <v>109</v>
      </c>
      <c r="C51" s="92"/>
      <c r="D51" s="126">
        <f>((D47-D48)*0.97-(D49*D50)/365*4)/100</f>
        <v>0.59511595890410962</v>
      </c>
      <c r="E51" s="131"/>
      <c r="F51" s="128">
        <f>((F47-F48)*0.97-(F49*F50)/365*4)/100</f>
        <v>0.59511595890410962</v>
      </c>
      <c r="G51" s="97"/>
      <c r="H51" s="8"/>
      <c r="I51" s="8"/>
      <c r="J51" s="8"/>
      <c r="K51" s="8"/>
      <c r="L51" s="8"/>
      <c r="M51" s="2"/>
      <c r="N51" s="2"/>
      <c r="O51" s="2"/>
    </row>
    <row r="52" spans="1:15" ht="15">
      <c r="A52" s="3"/>
      <c r="B52" s="88" t="s">
        <v>66</v>
      </c>
      <c r="C52" s="92"/>
      <c r="D52" s="126">
        <v>0.12</v>
      </c>
      <c r="E52" s="130" t="s">
        <v>0</v>
      </c>
      <c r="F52" s="128">
        <v>0.12</v>
      </c>
      <c r="G52" s="97"/>
      <c r="H52" s="8"/>
      <c r="I52" s="8"/>
      <c r="J52" s="8"/>
      <c r="K52" s="8"/>
      <c r="L52" s="8"/>
      <c r="M52" s="2"/>
      <c r="N52" s="2"/>
      <c r="O52" s="2"/>
    </row>
    <row r="53" spans="1:15" ht="15">
      <c r="A53" s="3"/>
      <c r="B53" s="88" t="s">
        <v>29</v>
      </c>
      <c r="C53" s="92"/>
      <c r="D53" s="118">
        <f>D25*0.04</f>
        <v>0.64400000000000002</v>
      </c>
      <c r="E53" s="130" t="s">
        <v>0</v>
      </c>
      <c r="F53" s="122">
        <f>F25*0.04</f>
        <v>0.6624000000000001</v>
      </c>
      <c r="G53" s="97"/>
      <c r="H53" s="8"/>
      <c r="I53" s="8"/>
      <c r="J53" s="8"/>
      <c r="K53" s="8"/>
      <c r="L53" s="8"/>
      <c r="M53" s="2"/>
      <c r="N53" s="2"/>
      <c r="O53" s="2"/>
    </row>
    <row r="54" spans="1:15" ht="15">
      <c r="A54" s="3"/>
      <c r="B54" s="88" t="s">
        <v>20</v>
      </c>
      <c r="C54" s="92"/>
      <c r="D54" s="118">
        <v>98</v>
      </c>
      <c r="E54" s="130" t="s">
        <v>0</v>
      </c>
      <c r="F54" s="129">
        <v>98</v>
      </c>
      <c r="G54" s="97"/>
      <c r="H54" s="8"/>
      <c r="I54" s="8"/>
      <c r="J54" s="8"/>
      <c r="K54" s="8"/>
      <c r="L54" s="8"/>
      <c r="M54" s="2"/>
      <c r="N54" s="2"/>
      <c r="O54" s="2"/>
    </row>
    <row r="55" spans="1:15" ht="15">
      <c r="A55" s="3"/>
      <c r="B55" s="88" t="s">
        <v>21</v>
      </c>
      <c r="C55" s="92"/>
      <c r="D55" s="118">
        <v>63</v>
      </c>
      <c r="E55" s="130" t="s">
        <v>0</v>
      </c>
      <c r="F55" s="129">
        <v>63</v>
      </c>
      <c r="G55" s="97"/>
      <c r="H55" s="8"/>
      <c r="I55" s="8"/>
      <c r="J55" s="8"/>
      <c r="K55" s="8"/>
      <c r="L55" s="8"/>
      <c r="M55" s="2"/>
      <c r="N55" s="2"/>
      <c r="O55" s="2"/>
    </row>
    <row r="56" spans="1:15" ht="15">
      <c r="A56" s="3"/>
      <c r="B56" s="88" t="s">
        <v>22</v>
      </c>
      <c r="C56" s="92"/>
      <c r="D56" s="118">
        <v>144</v>
      </c>
      <c r="E56" s="130" t="s">
        <v>0</v>
      </c>
      <c r="F56" s="129">
        <v>144</v>
      </c>
      <c r="G56" s="97"/>
      <c r="H56" s="8"/>
      <c r="I56" s="8"/>
      <c r="J56" s="8"/>
      <c r="K56" s="8"/>
      <c r="L56" s="8"/>
      <c r="M56" s="2"/>
      <c r="N56" s="2"/>
      <c r="O56" s="2"/>
    </row>
    <row r="57" spans="1:15" ht="15">
      <c r="A57" s="3"/>
      <c r="B57" s="88" t="s">
        <v>34</v>
      </c>
      <c r="C57" s="92"/>
      <c r="D57" s="118">
        <v>7</v>
      </c>
      <c r="E57" s="130" t="s">
        <v>0</v>
      </c>
      <c r="F57" s="129">
        <v>7</v>
      </c>
      <c r="G57" s="97"/>
      <c r="H57" s="8"/>
      <c r="I57" s="8"/>
      <c r="J57" s="8"/>
      <c r="K57" s="8"/>
      <c r="L57" s="8"/>
      <c r="M57" s="2"/>
      <c r="N57" s="2"/>
      <c r="O57" s="2"/>
    </row>
    <row r="58" spans="1:15" ht="15">
      <c r="A58" s="3"/>
      <c r="B58" s="88" t="s">
        <v>23</v>
      </c>
      <c r="C58" s="92"/>
      <c r="D58" s="118">
        <v>16</v>
      </c>
      <c r="E58" s="130" t="s">
        <v>0</v>
      </c>
      <c r="F58" s="129">
        <v>16</v>
      </c>
      <c r="G58" s="97"/>
      <c r="H58" s="29"/>
      <c r="I58" s="29"/>
      <c r="J58" s="29"/>
      <c r="K58" s="29"/>
      <c r="L58" s="29"/>
      <c r="M58" s="30"/>
      <c r="N58" s="30"/>
      <c r="O58" s="2"/>
    </row>
    <row r="59" spans="1:15" ht="14.25">
      <c r="A59" s="3"/>
      <c r="B59" s="88"/>
      <c r="C59" s="92"/>
      <c r="D59" s="93"/>
      <c r="E59" s="92"/>
      <c r="F59" s="99"/>
      <c r="G59" s="99"/>
      <c r="H59" s="29"/>
      <c r="I59" s="29"/>
      <c r="J59" s="29"/>
      <c r="K59" s="29"/>
      <c r="L59" s="29"/>
      <c r="M59" s="30"/>
      <c r="N59" s="30"/>
      <c r="O59" s="2"/>
    </row>
    <row r="60" spans="1:15" ht="14.25">
      <c r="A60" s="3"/>
      <c r="B60" s="88"/>
      <c r="C60" s="92"/>
      <c r="D60" s="93"/>
      <c r="E60" s="92"/>
      <c r="F60" s="99"/>
      <c r="G60" s="99"/>
      <c r="H60" s="29"/>
      <c r="I60" s="29"/>
      <c r="J60" s="29"/>
      <c r="K60" s="29"/>
      <c r="L60" s="29"/>
      <c r="M60" s="30"/>
      <c r="N60" s="30"/>
      <c r="O60" s="2"/>
    </row>
    <row r="61" spans="1:15" ht="15.75">
      <c r="A61" s="3"/>
      <c r="B61" s="87" t="s">
        <v>25</v>
      </c>
      <c r="C61" s="100"/>
      <c r="D61" s="101"/>
      <c r="E61" s="92"/>
      <c r="F61" s="99"/>
      <c r="G61" s="99"/>
      <c r="H61" s="29"/>
      <c r="I61" s="29"/>
      <c r="J61" s="29"/>
      <c r="K61" s="29"/>
      <c r="L61" s="29"/>
      <c r="M61" s="30"/>
      <c r="N61" s="30"/>
      <c r="O61" s="2"/>
    </row>
    <row r="62" spans="1:15" ht="15">
      <c r="A62" s="3"/>
      <c r="B62" s="88" t="s">
        <v>26</v>
      </c>
      <c r="C62" s="92"/>
      <c r="D62" s="118">
        <v>240</v>
      </c>
      <c r="E62" s="130" t="s">
        <v>0</v>
      </c>
      <c r="F62" s="132">
        <v>246.4</v>
      </c>
      <c r="G62" s="123" t="s">
        <v>0</v>
      </c>
      <c r="H62" s="29"/>
      <c r="I62" s="29"/>
      <c r="J62" s="29"/>
      <c r="K62" s="29"/>
      <c r="L62" s="29"/>
      <c r="M62" s="30"/>
      <c r="N62" s="30"/>
      <c r="O62" s="2"/>
    </row>
    <row r="63" spans="1:15" ht="15">
      <c r="A63" s="3"/>
      <c r="B63" s="88"/>
      <c r="C63" s="92"/>
      <c r="D63" s="93"/>
      <c r="E63" s="89"/>
      <c r="F63" s="99"/>
      <c r="G63" s="99"/>
      <c r="H63" s="29"/>
      <c r="I63" s="29"/>
      <c r="J63" s="29"/>
      <c r="K63" s="29"/>
      <c r="L63" s="29"/>
      <c r="M63" s="30"/>
      <c r="N63" s="30"/>
      <c r="O63" s="2"/>
    </row>
    <row r="64" spans="1:15" ht="15">
      <c r="A64" s="3"/>
      <c r="B64" s="92" t="s">
        <v>86</v>
      </c>
      <c r="C64" s="92"/>
      <c r="D64" s="93"/>
      <c r="E64" s="89"/>
      <c r="F64" s="99"/>
      <c r="G64" s="99"/>
      <c r="H64" s="29"/>
      <c r="I64" s="29"/>
      <c r="J64" s="29"/>
      <c r="K64" s="29"/>
      <c r="L64" s="29"/>
      <c r="M64" s="30"/>
      <c r="N64" s="30"/>
      <c r="O64" s="2"/>
    </row>
    <row r="65" spans="1:15" ht="15">
      <c r="A65" s="3"/>
      <c r="B65" s="102" t="s">
        <v>84</v>
      </c>
      <c r="C65" s="92"/>
      <c r="D65" s="93"/>
      <c r="E65" s="89"/>
      <c r="F65" s="99"/>
      <c r="G65" s="99"/>
      <c r="H65" s="29"/>
      <c r="I65" s="29"/>
      <c r="J65" s="29"/>
      <c r="K65" s="29"/>
      <c r="L65" s="29"/>
      <c r="M65" s="30"/>
      <c r="N65" s="30"/>
      <c r="O65" s="2"/>
    </row>
    <row r="66" spans="1:15" ht="15">
      <c r="A66" s="3"/>
      <c r="B66" s="92" t="s">
        <v>85</v>
      </c>
      <c r="C66" s="92"/>
      <c r="D66" s="93"/>
      <c r="E66" s="89"/>
      <c r="F66" s="103"/>
      <c r="G66" s="103"/>
      <c r="H66" s="29"/>
      <c r="I66" s="29"/>
      <c r="J66" s="29"/>
      <c r="K66" s="29"/>
      <c r="L66" s="29"/>
      <c r="M66" s="30"/>
      <c r="N66" s="30"/>
      <c r="O66" s="2"/>
    </row>
    <row r="67" spans="1:15" ht="15">
      <c r="A67" s="3"/>
      <c r="B67" s="104"/>
      <c r="C67" s="85"/>
      <c r="D67" s="105" t="s">
        <v>14</v>
      </c>
      <c r="E67" s="81"/>
      <c r="F67" s="113" t="s">
        <v>87</v>
      </c>
      <c r="G67" s="106"/>
      <c r="H67" s="72"/>
      <c r="I67" s="72"/>
      <c r="J67" s="72"/>
      <c r="K67" s="72"/>
      <c r="L67" s="72"/>
      <c r="M67" s="72"/>
      <c r="N67" s="30"/>
      <c r="O67" s="2"/>
    </row>
    <row r="68" spans="1:15" ht="14.25">
      <c r="A68" s="3"/>
      <c r="B68" s="88"/>
      <c r="C68" s="85"/>
      <c r="D68" s="149" t="s">
        <v>15</v>
      </c>
      <c r="E68" s="148"/>
      <c r="F68" s="149" t="s">
        <v>15</v>
      </c>
      <c r="G68" s="106"/>
      <c r="H68" s="72"/>
      <c r="I68" s="72"/>
      <c r="J68" s="72"/>
      <c r="K68" s="72"/>
      <c r="L68" s="72"/>
      <c r="M68" s="72"/>
      <c r="N68" s="30"/>
      <c r="O68" s="2"/>
    </row>
    <row r="69" spans="1:15" ht="14.25">
      <c r="A69" s="3"/>
      <c r="B69" s="107" t="s">
        <v>58</v>
      </c>
      <c r="C69" s="85"/>
      <c r="D69" s="133">
        <f>ROUND(IF($D$62&lt;=100,$D$23*Blad1!D30,IF(AND($D$62&gt;100,$D$62&lt;=200),$D$23*Blad1!E30,IF(AND($D$62&gt;200,$D$62&lt;=250),$D$23*Blad1!I30,IF(AND($D$62&gt;250,$D$62&lt;400),$D$23*Blad1!J30,IF($D$62&gt;=400,$D$23*L626))))),0)</f>
        <v>20</v>
      </c>
      <c r="E69" s="81"/>
      <c r="F69" s="134">
        <f>ROUND(IF($F$62&lt;=100,$F$23*Blad1!D30,IF(AND($F$62&gt;100,$F$62&lt;=200),$F$23*Blad1!E30,IF(AND($F$62&gt;200,$F$62&lt;=250),$F$23*Blad1!I30,IF(AND($F$62&gt;250,$F$62&lt;400),$F$23*Blad1!J30,IF($F$62&gt;=400,$F$23*N626))))),0)</f>
        <v>21</v>
      </c>
      <c r="G69" s="106"/>
      <c r="H69" s="72"/>
      <c r="I69" s="72"/>
      <c r="J69" s="72"/>
      <c r="K69" s="72"/>
      <c r="L69" s="72"/>
      <c r="M69" s="72"/>
      <c r="N69" s="30"/>
      <c r="O69" s="2"/>
    </row>
    <row r="70" spans="1:15" ht="14.25">
      <c r="A70" s="3"/>
      <c r="B70" s="107" t="s">
        <v>57</v>
      </c>
      <c r="C70" s="85"/>
      <c r="D70" s="133">
        <f>ROUND(IF($D$62&lt;=100,$D$23*Blad1!D31,IF(AND($D$62&gt;100,$D$62&lt;=200),$D$23*Blad1!E31,IF(AND($D$62&gt;200,$D$62&lt;=250),$D$23*Blad1!I31,IF(AND($D$62&gt;250,$D$62&lt;400),$D$23*Blad1!J31,IF($D$62&gt;=400,$D$23*Blad1!N31))))),0)</f>
        <v>21</v>
      </c>
      <c r="E70" s="81"/>
      <c r="F70" s="134">
        <f>ROUND(IF($F$62&lt;=100,$F$23*Blad1!D31,IF(AND($F$62&gt;100,$F$62&lt;=200),$F$23*Blad1!E31,IF(AND($F$62&gt;200,$F$62&lt;=250),$F$23*Blad1!I31,IF(AND($F$62&gt;250,$F$62&lt;400),$F$23*Blad1!J31,IF($F$62&gt;=400,$F$23*Blad1!N31))))),0)</f>
        <v>22</v>
      </c>
      <c r="G70" s="106"/>
      <c r="H70" s="72"/>
      <c r="I70" s="72"/>
      <c r="J70" s="72"/>
      <c r="K70" s="72"/>
      <c r="L70" s="72"/>
      <c r="M70" s="72"/>
      <c r="N70" s="30"/>
      <c r="O70" s="2"/>
    </row>
    <row r="71" spans="1:15" ht="14.25">
      <c r="A71" s="3"/>
      <c r="B71" s="107" t="s">
        <v>54</v>
      </c>
      <c r="C71" s="85"/>
      <c r="D71" s="133">
        <f>ROUND(IF($D$62&lt;=100,$D$23*Blad1!D32,IF(AND($D$62&gt;100,$D$62&lt;=200),$D$23*Blad1!E32,IF(AND($D$62&gt;200,$D$62&lt;=250),$D$23*Blad1!I32,IF(AND($D$62&gt;250,$D$62&lt;400),$D$23*Blad1!J32,IF($D$62&gt;=400,$D$23*Blad1!N32))))),0)</f>
        <v>10</v>
      </c>
      <c r="E71" s="81"/>
      <c r="F71" s="134">
        <f>ROUND(IF($F$62&lt;=100,$F$23*Blad1!D32,IF(AND($F$62&gt;100,$F$62&lt;=200),$F$23*Blad1!E32,IF(AND($F$62&gt;200,$F$62&lt;=250),$F$23*Blad1!I32,IF(AND($F$62&gt;250,$F$62&lt;400),$F$23*Blad1!J32,IF($F$62&gt;=400,$F$23*Blad1!N32))))),0)</f>
        <v>10</v>
      </c>
      <c r="G71" s="106"/>
      <c r="H71" s="72"/>
      <c r="I71" s="72"/>
      <c r="J71" s="72"/>
      <c r="K71" s="72"/>
      <c r="L71" s="72"/>
      <c r="M71" s="72"/>
      <c r="N71" s="30"/>
      <c r="O71" s="2"/>
    </row>
    <row r="72" spans="1:15" ht="14.25">
      <c r="A72" s="3"/>
      <c r="B72" s="107" t="s">
        <v>98</v>
      </c>
      <c r="C72" s="85"/>
      <c r="D72" s="133">
        <f>ROUND(IF($D$62&lt;=100,$D$23*Blad1!D33,IF(AND($D$62&gt;100,$D$62&lt;=200),$D$23*Blad1!E33,IF(AND($D$62&gt;200,$D$62&lt;=250),$D$23*Blad1!I33,IF(AND($D$62&gt;250,$D$62&lt;400),$D$23*Blad1!J33,IF($D$62&gt;=400,$D$23*Blad1!N33))))),0)</f>
        <v>6</v>
      </c>
      <c r="E72" s="81"/>
      <c r="F72" s="134">
        <f>ROUND(IF($F$62&lt;=100,$F$23*Blad1!D33,IF(AND($F$62&gt;100,$F$62&lt;=200),$F$23*Blad1!E33,IF(AND($F$62&gt;200,$F$62&lt;=250),$F$23*Blad1!I33,IF(AND($F$62&gt;250,$F$62&lt;400),$F$23*Blad1!J33,IF($F$62&gt;=400,$F$23*Blad1!N33))))),0)</f>
        <v>6</v>
      </c>
      <c r="G72" s="106"/>
      <c r="H72" s="72"/>
      <c r="I72" s="72"/>
      <c r="J72" s="72"/>
      <c r="K72" s="72"/>
      <c r="L72" s="72"/>
      <c r="M72" s="72"/>
      <c r="N72" s="30"/>
      <c r="O72" s="2"/>
    </row>
    <row r="73" spans="1:15" ht="14.25">
      <c r="A73" s="3"/>
      <c r="B73" s="107" t="s">
        <v>56</v>
      </c>
      <c r="C73" s="85"/>
      <c r="D73" s="133">
        <f>ROUND(IF($D$62&lt;=100,$D$23*Blad1!D34,IF(AND($D62&gt;100,$D$62&lt;=200),$D$23*Blad1!E34,IF(AND($D$62&gt;200,$D$62&lt;=250),$D$23*Blad1!I34,IF(AND($D$62&gt;250,$D$62&lt;400),$D$23*Blad1!J34,IF($D$62&gt;=400,$D$23*Blad1!N34))))),0)</f>
        <v>4</v>
      </c>
      <c r="E73" s="81"/>
      <c r="F73" s="134">
        <f>ROUND(IF($F$62&lt;=100,$F$23*Blad1!D34,IF(AND($F62&gt;100,$F$62&lt;=200),$F$23*Blad1!E34,IF(AND($F$62&gt;200,$F$62&lt;=250),$F$23*Blad1!I34,IF(AND($F$62&gt;250,$F$62&lt;400),$F$23*Blad1!J34,IF($F$62&gt;=400,$F$23*Blad1!N34))))),0)</f>
        <v>4</v>
      </c>
      <c r="G73" s="106"/>
      <c r="H73" s="72"/>
      <c r="I73" s="72"/>
      <c r="J73" s="72"/>
      <c r="K73" s="72"/>
      <c r="L73" s="72"/>
      <c r="M73" s="72"/>
      <c r="N73" s="30"/>
      <c r="O73" s="2"/>
    </row>
    <row r="74" spans="1:15" ht="14.25">
      <c r="A74" s="3"/>
      <c r="B74" s="107" t="s">
        <v>55</v>
      </c>
      <c r="C74" s="85"/>
      <c r="D74" s="133">
        <f>ROUND(IF($D$62&lt;=100,$D$23*Blad1!D35,IF(AND($D$62&gt;100,$D$62&lt;=200),$D$23*Blad1!E35,IF(AND($D$62&gt;200,$D$62&lt;=250),$D$23*Blad1!I35,IF(AND($D$62&gt;250,$D$62&lt;400),$D$23*Blad1!J35,IF($D$62&gt;=400,$D$23*Blad1!N35))))),0)</f>
        <v>2</v>
      </c>
      <c r="E74" s="81"/>
      <c r="F74" s="134">
        <f>ROUND(IF($F$62&lt;=100,$F$23*Blad1!D35,IF(AND($F$62&gt;100,$F$62&lt;=200),$F$23*Blad1!E35,IF(AND($F$62&gt;200,$F$62&lt;=250),$F$23*Blad1!I35,IF(AND($F$62&gt;250,$F$62&lt;400),$F$23*Blad1!J35,IF($F$62&gt;=400,$F$23*Blad1!N35))))),0)</f>
        <v>2</v>
      </c>
      <c r="G74" s="106"/>
      <c r="H74" s="72"/>
      <c r="I74" s="72"/>
      <c r="J74" s="72"/>
      <c r="K74" s="72"/>
      <c r="L74" s="72"/>
      <c r="M74" s="72"/>
      <c r="N74" s="30"/>
      <c r="O74" s="2"/>
    </row>
    <row r="75" spans="1:15" ht="14.25">
      <c r="A75" s="3"/>
      <c r="B75" s="107" t="s">
        <v>59</v>
      </c>
      <c r="C75" s="85"/>
      <c r="D75" s="133">
        <f>ROUND(IF($D$62&lt;=100,$D$23*Blad1!D36,IF(AND($D$62&gt;100,$D$62&lt;=200),$D$23*Blad1!E36,IF(AND($D$62&gt;200,$D$62&lt;=250),$D$23*Blad1!I36,IF(AND($D$62&gt;250,$D$62&lt;400),$D$23*Blad1!J36,IF($D$62&gt;=400,$D$23*Blad1!N36))))),0)</f>
        <v>1</v>
      </c>
      <c r="E75" s="81"/>
      <c r="F75" s="134">
        <f>ROUND(IF($F$62&lt;=100,$F$23*Blad1!D36,IF(AND($F$62&gt;100,$F$62&lt;=200),$F$23*Blad1!E36,IF(AND($F$62&gt;200,$F$62&lt;=250),$F$23*Blad1!I36,IF(AND($F$62&gt;250,$F$62&lt;400),$F$23*Blad1!J36,IF($F$62&gt;=400,$F$23*Blad1!N36))))),0)</f>
        <v>1</v>
      </c>
      <c r="G75" s="106"/>
      <c r="H75" s="72"/>
      <c r="I75" s="72"/>
      <c r="J75" s="72"/>
      <c r="K75" s="72"/>
      <c r="L75" s="72"/>
      <c r="M75" s="72"/>
      <c r="N75" s="30"/>
      <c r="O75" s="2"/>
    </row>
    <row r="76" spans="1:15" ht="14.25">
      <c r="A76" s="3"/>
      <c r="B76" s="107" t="s">
        <v>60</v>
      </c>
      <c r="C76" s="85"/>
      <c r="D76" s="133">
        <f>ROUND(IF($D$62&lt;=100,$D$23*Blad1!D37,IF(AND($D$62&gt;100,$D$62&lt;=200),$D$23*Blad1!E37,IF(AND($D$62&gt;200,$D$62&lt;=250),$D$23*Blad1!I37,IF(AND($D$62&gt;250,$D$62&lt;400),$D$23*Blad1!J37,IF($D$62&gt;=400,$D$23*Blad1!N37))))),0)</f>
        <v>1</v>
      </c>
      <c r="E76" s="81"/>
      <c r="F76" s="134">
        <f>ROUND(IF($F$62&lt;=100,$F$23*Blad1!D37,IF(AND($F$62&gt;100,$F$62&lt;=200),$F$23*Blad1!E37,IF(AND($F$62&gt;200,$F$62&lt;=250),$F$23*Blad1!I37,IF(AND($F$62&gt;250,$F$62&lt;400),$F$23*Blad1!J37,IF($F$62&gt;=400,$F$23*Blad1!N37))))),0)</f>
        <v>1</v>
      </c>
      <c r="G76" s="106"/>
      <c r="H76" s="72"/>
      <c r="I76" s="72"/>
      <c r="J76" s="72"/>
      <c r="K76" s="72"/>
      <c r="L76" s="72"/>
      <c r="M76" s="72"/>
      <c r="N76" s="30"/>
      <c r="O76" s="2"/>
    </row>
    <row r="77" spans="1:15" ht="14.25">
      <c r="A77" s="3"/>
      <c r="B77" s="107" t="s">
        <v>61</v>
      </c>
      <c r="C77" s="85"/>
      <c r="D77" s="133">
        <f>ROUND(IF($D$62&lt;=100,$D$23*Blad1!D38,IF(AND($D$62&gt;100,$D$62&lt;=200),$D$23*Blad1!E38,IF(AND($D$62&gt;200,$D$62&lt;=250),$D$23*Blad1!I38,IF(AND($D$62&gt;250,$D$62&lt;400),$D$23*Blad1!J38,IF($D$62&gt;=400,$D$23*Blad1!N38))))),0)</f>
        <v>5</v>
      </c>
      <c r="E77" s="81"/>
      <c r="F77" s="134">
        <f>ROUND(IF($F$62&lt;=100,$F$23*Blad1!D38,IF(AND($F$62&gt;100,$F$62&lt;=200),$F$23*Blad1!E38,IF(AND($F$62&gt;200,$F$62&lt;=250),$F$23*Blad1!I38,IF(AND($F$62&gt;250,$F$62&lt;400),$F$23*Blad1!J38,IF($F$62&gt;=400,$F$23*Blad1!N38))))),0)</f>
        <v>5</v>
      </c>
      <c r="G77" s="106"/>
      <c r="H77" s="72"/>
      <c r="I77" s="72"/>
      <c r="J77" s="72"/>
      <c r="K77" s="72"/>
      <c r="L77" s="72"/>
      <c r="M77" s="72"/>
      <c r="N77" s="30"/>
      <c r="O77" s="2"/>
    </row>
    <row r="78" spans="1:15" ht="14.25">
      <c r="A78" s="3"/>
      <c r="B78" s="92" t="s">
        <v>108</v>
      </c>
      <c r="C78" s="85"/>
      <c r="D78" s="108">
        <f>SUM(D69:D77)</f>
        <v>70</v>
      </c>
      <c r="E78" s="92"/>
      <c r="F78" s="103">
        <f>SUM(F69:F77)</f>
        <v>72</v>
      </c>
      <c r="G78" s="103"/>
      <c r="H78" s="32"/>
      <c r="I78" s="14"/>
      <c r="J78" s="33"/>
      <c r="K78" s="33"/>
      <c r="L78" s="33"/>
      <c r="M78" s="30"/>
      <c r="N78" s="30"/>
      <c r="O78" s="2"/>
    </row>
    <row r="79" spans="1:15" ht="15.75" customHeight="1">
      <c r="A79" s="3"/>
      <c r="B79" s="87" t="s">
        <v>64</v>
      </c>
      <c r="C79" s="100"/>
      <c r="D79" s="93"/>
      <c r="E79" s="109"/>
      <c r="F79" s="99"/>
      <c r="G79" s="99"/>
      <c r="H79" s="29"/>
      <c r="I79" s="29"/>
      <c r="J79" s="29"/>
      <c r="K79" s="29"/>
      <c r="L79" s="29"/>
      <c r="M79" s="30"/>
      <c r="N79" s="30"/>
      <c r="O79" s="2"/>
    </row>
    <row r="80" spans="1:15" ht="15">
      <c r="A80" s="3"/>
      <c r="B80" s="88"/>
      <c r="C80" s="92"/>
      <c r="D80" s="110" t="s">
        <v>14</v>
      </c>
      <c r="E80" s="111"/>
      <c r="F80" s="113" t="s">
        <v>87</v>
      </c>
      <c r="G80" s="99"/>
      <c r="H80" s="8"/>
      <c r="I80" s="8"/>
      <c r="J80" s="8"/>
      <c r="K80" s="8"/>
      <c r="L80" s="8"/>
      <c r="M80" s="2"/>
      <c r="N80" s="2"/>
      <c r="O80" s="2"/>
    </row>
    <row r="81" spans="1:19" ht="15">
      <c r="A81" s="3"/>
      <c r="B81" s="88" t="s">
        <v>27</v>
      </c>
      <c r="C81" s="92"/>
      <c r="D81" s="118">
        <v>0</v>
      </c>
      <c r="E81" s="135" t="s">
        <v>0</v>
      </c>
      <c r="F81" s="122">
        <v>0</v>
      </c>
      <c r="G81" s="97"/>
      <c r="H81" s="8"/>
      <c r="I81" s="8"/>
      <c r="J81" s="8"/>
      <c r="K81" s="8"/>
      <c r="L81" s="8"/>
      <c r="M81" s="2"/>
      <c r="N81" s="2"/>
      <c r="O81" s="2"/>
    </row>
    <row r="82" spans="1:19" ht="15">
      <c r="A82" s="3"/>
      <c r="B82" s="88" t="s">
        <v>30</v>
      </c>
      <c r="C82" s="92"/>
      <c r="D82" s="118">
        <v>0</v>
      </c>
      <c r="E82" s="135" t="s">
        <v>0</v>
      </c>
      <c r="F82" s="122">
        <v>0</v>
      </c>
      <c r="G82" s="97"/>
      <c r="H82" s="8"/>
      <c r="I82" s="8"/>
      <c r="J82" s="8"/>
      <c r="K82" s="8"/>
      <c r="L82" s="8"/>
      <c r="M82" s="2"/>
      <c r="N82" s="2"/>
      <c r="O82" s="2"/>
    </row>
    <row r="83" spans="1:19" ht="15">
      <c r="A83" s="3"/>
      <c r="B83" s="88" t="s">
        <v>31</v>
      </c>
      <c r="C83" s="92"/>
      <c r="D83" s="118">
        <v>98</v>
      </c>
      <c r="E83" s="135" t="s">
        <v>0</v>
      </c>
      <c r="F83" s="122">
        <v>98</v>
      </c>
      <c r="G83" s="97"/>
      <c r="H83" s="8"/>
      <c r="I83" s="8"/>
      <c r="J83" s="8"/>
      <c r="K83" s="8"/>
      <c r="L83" s="8"/>
      <c r="M83" s="2"/>
      <c r="N83" s="2"/>
      <c r="O83" s="2"/>
    </row>
    <row r="84" spans="1:19" ht="15">
      <c r="A84" s="3"/>
      <c r="B84" s="88" t="s">
        <v>32</v>
      </c>
      <c r="C84" s="92"/>
      <c r="D84" s="118">
        <v>48</v>
      </c>
      <c r="E84" s="135" t="s">
        <v>0</v>
      </c>
      <c r="F84" s="122">
        <v>48</v>
      </c>
      <c r="G84" s="97"/>
      <c r="H84" s="8"/>
      <c r="I84" s="8"/>
      <c r="J84" s="8"/>
      <c r="K84" s="8"/>
      <c r="L84" s="8"/>
      <c r="M84" s="2"/>
      <c r="N84" s="2"/>
      <c r="O84" s="2"/>
    </row>
    <row r="85" spans="1:19" ht="15">
      <c r="A85" s="3"/>
      <c r="B85" s="88" t="s">
        <v>33</v>
      </c>
      <c r="C85" s="92"/>
      <c r="D85" s="118">
        <v>65</v>
      </c>
      <c r="E85" s="135" t="s">
        <v>0</v>
      </c>
      <c r="F85" s="122">
        <v>65</v>
      </c>
      <c r="G85" s="97"/>
      <c r="H85" s="8"/>
      <c r="I85" s="8"/>
      <c r="J85" s="8"/>
      <c r="K85" s="8"/>
      <c r="L85" s="8"/>
      <c r="M85" s="2"/>
      <c r="N85" s="2"/>
      <c r="O85" s="2"/>
    </row>
    <row r="86" spans="1:19" ht="15">
      <c r="A86" s="3"/>
      <c r="B86" s="88" t="s">
        <v>34</v>
      </c>
      <c r="C86" s="92"/>
      <c r="D86" s="118">
        <v>7</v>
      </c>
      <c r="E86" s="135" t="s">
        <v>0</v>
      </c>
      <c r="F86" s="122">
        <v>7</v>
      </c>
      <c r="G86" s="97"/>
      <c r="H86" s="8"/>
      <c r="I86" s="8"/>
      <c r="J86" s="8"/>
      <c r="K86" s="8"/>
      <c r="L86" s="8"/>
      <c r="M86" s="2"/>
      <c r="N86" s="2"/>
      <c r="O86" s="2"/>
    </row>
    <row r="87" spans="1:19" ht="14.25">
      <c r="A87" s="3"/>
      <c r="B87" s="88"/>
      <c r="C87" s="92"/>
      <c r="D87" s="93"/>
      <c r="E87" s="92"/>
      <c r="F87" s="99"/>
      <c r="G87" s="99"/>
      <c r="H87" s="8"/>
      <c r="I87" s="8"/>
      <c r="J87" s="8"/>
      <c r="K87" s="8"/>
      <c r="L87" s="8"/>
      <c r="M87" s="2"/>
      <c r="N87" s="2"/>
      <c r="O87" s="2"/>
    </row>
    <row r="88" spans="1:19" ht="15.75">
      <c r="A88" s="3"/>
      <c r="B88" s="87" t="s">
        <v>35</v>
      </c>
      <c r="C88" s="92"/>
      <c r="D88" s="93"/>
      <c r="E88" s="92"/>
      <c r="F88" s="99"/>
      <c r="G88" s="99"/>
      <c r="H88" s="8"/>
      <c r="I88" s="8"/>
      <c r="J88" s="8"/>
      <c r="K88" s="8"/>
      <c r="L88" s="8"/>
      <c r="M88" s="2"/>
      <c r="N88" s="2"/>
      <c r="O88" s="2"/>
    </row>
    <row r="89" spans="1:19" ht="15">
      <c r="A89" s="3"/>
      <c r="B89" s="88" t="s">
        <v>36</v>
      </c>
      <c r="C89" s="92"/>
      <c r="D89" s="118">
        <f>ROUND(0.3*D25,0)</f>
        <v>5</v>
      </c>
      <c r="E89" s="135" t="s">
        <v>0</v>
      </c>
      <c r="F89" s="118">
        <f>ROUND(0.3*F25,0)</f>
        <v>5</v>
      </c>
      <c r="G89" s="97"/>
      <c r="H89" s="8"/>
      <c r="I89" s="8"/>
      <c r="J89" s="8"/>
      <c r="K89" s="8"/>
      <c r="L89" s="8"/>
      <c r="M89" s="2"/>
      <c r="N89" s="2"/>
      <c r="O89" s="2"/>
    </row>
    <row r="90" spans="1:19" ht="15">
      <c r="A90" s="3"/>
      <c r="B90" s="88" t="s">
        <v>37</v>
      </c>
      <c r="C90" s="92"/>
      <c r="D90" s="118">
        <f>2500-500</f>
        <v>2000</v>
      </c>
      <c r="E90" s="135" t="s">
        <v>0</v>
      </c>
      <c r="F90" s="122">
        <f>2500-500</f>
        <v>2000</v>
      </c>
      <c r="G90" s="97"/>
      <c r="H90" s="8"/>
      <c r="I90" s="8"/>
      <c r="J90" s="8"/>
      <c r="K90" s="8"/>
      <c r="L90" s="8"/>
      <c r="M90" s="2"/>
      <c r="N90" s="2"/>
      <c r="O90" s="2"/>
    </row>
    <row r="91" spans="1:19" ht="14.25">
      <c r="A91" s="3"/>
      <c r="B91" s="88"/>
      <c r="C91" s="85"/>
      <c r="D91" s="85"/>
      <c r="E91" s="85"/>
      <c r="F91" s="85"/>
      <c r="G91" s="85"/>
      <c r="H91" s="3"/>
      <c r="I91" s="3"/>
      <c r="J91" s="3"/>
      <c r="K91" s="3"/>
      <c r="L91" s="3"/>
      <c r="M91" s="2"/>
      <c r="N91" s="2"/>
      <c r="O91" s="2"/>
    </row>
    <row r="92" spans="1:19" ht="14.25">
      <c r="A92" s="3"/>
      <c r="B92" s="88"/>
      <c r="C92" s="85"/>
      <c r="D92" s="85"/>
      <c r="E92" s="85"/>
      <c r="F92" s="85"/>
      <c r="G92" s="85"/>
      <c r="H92" s="31"/>
      <c r="I92" s="31"/>
      <c r="J92" s="31"/>
      <c r="K92" s="31"/>
      <c r="L92" s="31"/>
      <c r="M92" s="30"/>
      <c r="N92" s="30"/>
      <c r="O92" s="30"/>
      <c r="P92" s="15"/>
      <c r="Q92" s="15"/>
      <c r="R92" s="15"/>
      <c r="S92" s="15"/>
    </row>
    <row r="93" spans="1:19" ht="18">
      <c r="A93" s="3"/>
      <c r="B93" s="112" t="s">
        <v>38</v>
      </c>
      <c r="C93" s="85"/>
      <c r="D93" s="81"/>
      <c r="E93" s="85"/>
      <c r="F93" s="113"/>
      <c r="G93" s="85"/>
      <c r="H93" s="168"/>
      <c r="I93" s="169"/>
      <c r="J93" s="31"/>
      <c r="K93" s="31"/>
      <c r="L93" s="31"/>
      <c r="M93" s="30"/>
      <c r="N93" s="30"/>
      <c r="O93" s="30"/>
      <c r="P93" s="15"/>
      <c r="Q93" s="15"/>
      <c r="R93" s="15"/>
      <c r="S93" s="15"/>
    </row>
    <row r="94" spans="1:19" ht="15">
      <c r="A94" s="3"/>
      <c r="B94" s="85"/>
      <c r="C94" s="114" t="s">
        <v>14</v>
      </c>
      <c r="D94" s="81"/>
      <c r="E94" s="85"/>
      <c r="F94" s="113" t="s">
        <v>87</v>
      </c>
      <c r="G94" s="85"/>
      <c r="H94" s="75"/>
      <c r="I94" s="75"/>
      <c r="J94" s="56"/>
      <c r="K94" s="156"/>
      <c r="L94" s="56"/>
      <c r="M94" s="155"/>
      <c r="N94" s="57"/>
      <c r="O94" s="58"/>
      <c r="P94" s="57"/>
      <c r="Q94" s="15"/>
      <c r="R94" s="15"/>
      <c r="S94" s="15"/>
    </row>
    <row r="95" spans="1:19" ht="15">
      <c r="A95" s="3"/>
      <c r="B95" s="115" t="s">
        <v>40</v>
      </c>
      <c r="C95" s="136">
        <f>Blad1!A40</f>
        <v>3633.4492957191783</v>
      </c>
      <c r="D95" s="81"/>
      <c r="E95" s="81"/>
      <c r="F95" s="137">
        <f>Blad1!E40</f>
        <v>3582.2641032345214</v>
      </c>
      <c r="G95" s="85"/>
      <c r="H95" s="76"/>
      <c r="I95" s="72"/>
      <c r="J95" s="56"/>
      <c r="K95" s="156"/>
      <c r="L95" s="59"/>
      <c r="M95" s="60"/>
      <c r="N95" s="61"/>
      <c r="O95" s="31"/>
      <c r="P95" s="62"/>
      <c r="Q95" s="15"/>
      <c r="R95" s="15"/>
      <c r="S95" s="15"/>
    </row>
    <row r="96" spans="1:19" ht="15">
      <c r="A96" s="3"/>
      <c r="B96" s="115" t="s">
        <v>41</v>
      </c>
      <c r="C96" s="136">
        <f>Blad1!A41</f>
        <v>4468.4655934931507</v>
      </c>
      <c r="D96" s="81"/>
      <c r="E96" s="81"/>
      <c r="F96" s="137">
        <f>Blad1!E41</f>
        <v>4304.7738921719183</v>
      </c>
      <c r="G96" s="85"/>
      <c r="H96" s="72"/>
      <c r="I96" s="72"/>
      <c r="J96" s="56"/>
      <c r="K96" s="156"/>
      <c r="L96" s="63"/>
      <c r="M96" s="60"/>
      <c r="N96" s="61"/>
      <c r="O96" s="31"/>
      <c r="P96" s="62"/>
      <c r="Q96" s="15"/>
      <c r="R96" s="15"/>
      <c r="S96" s="15"/>
    </row>
    <row r="97" spans="1:19" ht="15">
      <c r="A97" s="3"/>
      <c r="B97" s="115" t="s">
        <v>42</v>
      </c>
      <c r="C97" s="136">
        <f>Blad1!A42</f>
        <v>1667.812791477656</v>
      </c>
      <c r="D97" s="81"/>
      <c r="E97" s="81"/>
      <c r="F97" s="137">
        <f>Blad1!E42</f>
        <v>1644.3179490256819</v>
      </c>
      <c r="G97" s="85"/>
      <c r="H97" s="77"/>
      <c r="I97" s="72"/>
      <c r="J97" s="64"/>
      <c r="K97" s="64"/>
      <c r="L97" s="63"/>
      <c r="M97" s="60"/>
      <c r="N97" s="61"/>
      <c r="O97" s="30"/>
      <c r="P97" s="62"/>
      <c r="Q97" s="15"/>
      <c r="R97" s="15"/>
      <c r="S97" s="15"/>
    </row>
    <row r="98" spans="1:19" ht="15">
      <c r="A98" s="3"/>
      <c r="B98" s="115" t="s">
        <v>43</v>
      </c>
      <c r="C98" s="136">
        <f>Blad1!A43</f>
        <v>63.112000000000002</v>
      </c>
      <c r="D98" s="81"/>
      <c r="E98" s="81"/>
      <c r="F98" s="137">
        <f>Blad1!E43</f>
        <v>64.915200000000013</v>
      </c>
      <c r="G98" s="85"/>
      <c r="H98" s="78"/>
      <c r="I98" s="76"/>
      <c r="J98" s="64"/>
      <c r="K98" s="56"/>
      <c r="L98" s="63"/>
      <c r="M98" s="60"/>
      <c r="N98" s="61"/>
      <c r="O98" s="30"/>
      <c r="P98" s="62"/>
      <c r="Q98" s="15"/>
      <c r="R98" s="15"/>
      <c r="S98" s="15"/>
    </row>
    <row r="99" spans="1:19" ht="15">
      <c r="A99" s="3"/>
      <c r="B99" s="115" t="s">
        <v>44</v>
      </c>
      <c r="C99" s="136">
        <f>Blad1!A44</f>
        <v>1785.1680000000003</v>
      </c>
      <c r="D99" s="81"/>
      <c r="E99" s="81"/>
      <c r="F99" s="137">
        <f>Blad1!E44</f>
        <v>1836.1728000000003</v>
      </c>
      <c r="G99" s="85"/>
      <c r="H99" s="77"/>
      <c r="I99" s="72"/>
      <c r="J99" s="56"/>
      <c r="K99" s="56"/>
      <c r="L99" s="56"/>
      <c r="M99" s="60"/>
      <c r="N99" s="61"/>
      <c r="O99" s="15"/>
      <c r="P99" s="65"/>
      <c r="Q99" s="15"/>
      <c r="R99" s="15"/>
      <c r="S99" s="15"/>
    </row>
    <row r="100" spans="1:19" ht="15">
      <c r="A100" s="3"/>
      <c r="B100" s="115" t="s">
        <v>45</v>
      </c>
      <c r="C100" s="136">
        <f>Blad1!A45</f>
        <v>208.26960000000005</v>
      </c>
      <c r="D100" s="81"/>
      <c r="E100" s="81"/>
      <c r="F100" s="137">
        <f>Blad1!E45</f>
        <v>214.22016000000005</v>
      </c>
      <c r="G100" s="85"/>
      <c r="H100" s="78"/>
      <c r="I100" s="76"/>
      <c r="J100" s="56"/>
      <c r="K100" s="56"/>
      <c r="L100" s="56"/>
      <c r="M100" s="60"/>
      <c r="N100" s="61"/>
      <c r="O100" s="15"/>
      <c r="P100" s="65"/>
      <c r="Q100" s="15"/>
      <c r="R100" s="15"/>
      <c r="S100" s="15"/>
    </row>
    <row r="101" spans="1:19" ht="15.75" thickBot="1">
      <c r="A101" s="3"/>
      <c r="B101" s="116" t="s">
        <v>46</v>
      </c>
      <c r="C101" s="136">
        <f>Blad1!A46</f>
        <v>10000</v>
      </c>
      <c r="D101" s="81"/>
      <c r="E101" s="81"/>
      <c r="F101" s="137">
        <f>Blad1!E46</f>
        <v>10000</v>
      </c>
      <c r="G101" s="85"/>
      <c r="H101" s="77"/>
      <c r="I101" s="72"/>
      <c r="J101" s="56"/>
      <c r="K101" s="56"/>
      <c r="L101" s="56"/>
      <c r="M101" s="60"/>
      <c r="N101" s="61"/>
      <c r="O101" s="15"/>
      <c r="P101" s="65"/>
      <c r="Q101" s="15"/>
      <c r="R101" s="15"/>
      <c r="S101" s="157"/>
    </row>
    <row r="102" spans="1:19" ht="15.75">
      <c r="A102" s="3"/>
      <c r="B102" s="117" t="s">
        <v>48</v>
      </c>
      <c r="C102" s="73">
        <f>Blad1!A47</f>
        <v>21826.277280689981</v>
      </c>
      <c r="D102" s="81"/>
      <c r="E102" s="81"/>
      <c r="F102" s="138">
        <f>Blad1!E47</f>
        <v>21646.664104432122</v>
      </c>
      <c r="G102" s="91"/>
      <c r="H102" s="78"/>
      <c r="I102" s="77"/>
      <c r="J102" s="56"/>
      <c r="K102" s="56"/>
      <c r="L102" s="56"/>
      <c r="M102" s="66"/>
      <c r="N102" s="65"/>
      <c r="O102" s="15"/>
      <c r="P102" s="65"/>
      <c r="Q102" s="15"/>
      <c r="R102" s="15"/>
      <c r="S102" s="157"/>
    </row>
    <row r="103" spans="1:19" ht="15.75">
      <c r="A103" s="3"/>
      <c r="B103" s="117" t="s">
        <v>62</v>
      </c>
      <c r="C103" s="74">
        <f>Blad1!A48</f>
        <v>311.80396115271401</v>
      </c>
      <c r="D103" s="81"/>
      <c r="E103" s="81"/>
      <c r="F103" s="139">
        <f>Blad1!E48</f>
        <v>300.64811256155724</v>
      </c>
      <c r="G103" s="91"/>
      <c r="H103" s="77"/>
      <c r="I103" s="78"/>
      <c r="J103" s="56"/>
      <c r="K103" s="56"/>
      <c r="L103" s="56"/>
      <c r="M103" s="66"/>
      <c r="N103" s="65"/>
      <c r="O103" s="15"/>
      <c r="P103" s="65"/>
      <c r="Q103" s="15"/>
      <c r="R103" s="15"/>
      <c r="S103" s="157"/>
    </row>
    <row r="104" spans="1:19" ht="15.75">
      <c r="A104" s="3"/>
      <c r="B104" s="117" t="s">
        <v>47</v>
      </c>
      <c r="C104" s="74">
        <f>Blad1!A49</f>
        <v>1078.1249495153313</v>
      </c>
      <c r="D104" s="81"/>
      <c r="E104" s="81"/>
      <c r="F104" s="139">
        <f>Blad1!E49</f>
        <v>1050.3064857937716</v>
      </c>
      <c r="G104" s="91"/>
      <c r="H104" s="78"/>
      <c r="I104" s="77"/>
      <c r="J104" s="56"/>
      <c r="K104" s="56"/>
      <c r="L104" s="56"/>
      <c r="M104" s="66"/>
      <c r="N104" s="65"/>
      <c r="O104" s="15"/>
      <c r="P104" s="65"/>
      <c r="Q104" s="15"/>
      <c r="R104" s="15"/>
      <c r="S104" s="15"/>
    </row>
    <row r="105" spans="1:19" ht="15">
      <c r="A105" s="4"/>
      <c r="B105" s="153" t="s">
        <v>107</v>
      </c>
      <c r="C105" s="81"/>
      <c r="D105" s="81"/>
      <c r="E105" s="91"/>
      <c r="F105" s="91"/>
      <c r="G105" s="91"/>
      <c r="H105" s="79"/>
      <c r="I105" s="80"/>
      <c r="J105" s="68"/>
      <c r="K105" s="68"/>
      <c r="L105" s="68"/>
      <c r="M105" s="66"/>
      <c r="N105" s="69"/>
      <c r="O105" s="15"/>
      <c r="P105" s="69"/>
      <c r="Q105" s="15"/>
      <c r="R105" s="15"/>
      <c r="S105" s="15"/>
    </row>
    <row r="106" spans="1:19" ht="15.75">
      <c r="A106" s="4"/>
      <c r="B106" s="141" t="s">
        <v>93</v>
      </c>
      <c r="C106" s="142"/>
      <c r="D106" s="143"/>
      <c r="E106" s="144"/>
      <c r="F106" s="144"/>
      <c r="G106" s="85"/>
      <c r="H106" s="80"/>
      <c r="I106" s="80"/>
      <c r="J106" s="67"/>
      <c r="K106" s="67"/>
      <c r="L106" s="67"/>
      <c r="M106" s="30"/>
      <c r="N106" s="65"/>
      <c r="O106" s="15"/>
      <c r="P106" s="65"/>
      <c r="Q106" s="15"/>
      <c r="R106" s="15"/>
      <c r="S106" s="15"/>
    </row>
    <row r="107" spans="1:19" ht="15">
      <c r="A107" s="4"/>
      <c r="B107" s="144" t="s">
        <v>65</v>
      </c>
      <c r="C107" s="145"/>
      <c r="D107" s="144"/>
      <c r="E107" s="144"/>
      <c r="F107" s="144"/>
      <c r="G107" s="85"/>
      <c r="H107" s="80"/>
      <c r="I107" s="80"/>
      <c r="J107" s="67"/>
      <c r="K107" s="67"/>
      <c r="L107" s="67"/>
      <c r="M107" s="30"/>
      <c r="N107" s="65"/>
      <c r="O107" s="158"/>
      <c r="P107" s="65"/>
      <c r="Q107" s="158"/>
      <c r="R107" s="15"/>
      <c r="S107" s="15"/>
    </row>
    <row r="108" spans="1:19">
      <c r="H108" s="15"/>
      <c r="I108" s="15"/>
      <c r="J108" s="15"/>
      <c r="K108" s="15"/>
      <c r="L108" s="15"/>
      <c r="M108" s="15"/>
      <c r="N108" s="15"/>
      <c r="O108" s="15"/>
      <c r="P108" s="15"/>
      <c r="Q108" s="15"/>
      <c r="R108" s="15"/>
      <c r="S108" s="15"/>
    </row>
    <row r="626" spans="12:12">
      <c r="L626" s="13"/>
    </row>
  </sheetData>
  <sheetProtection password="CE4F" sheet="1" objects="1" scenarios="1" selectLockedCells="1"/>
  <mergeCells count="9">
    <mergeCell ref="B7:G7"/>
    <mergeCell ref="H93:I93"/>
    <mergeCell ref="B16:F16"/>
    <mergeCell ref="B9:G9"/>
    <mergeCell ref="B10:G10"/>
    <mergeCell ref="B12:G12"/>
    <mergeCell ref="B11:G11"/>
    <mergeCell ref="B8:G8"/>
    <mergeCell ref="B13:G13"/>
  </mergeCells>
  <phoneticPr fontId="2" type="noConversion"/>
  <printOptions headings="1" gridLines="1"/>
  <pageMargins left="0.78740157480314965" right="0.78740157480314965" top="0.59055118110236227" bottom="0.59055118110236227" header="0.51181102362204722" footer="0.51181102362204722"/>
  <pageSetup paperSize="9" scale="50" fitToHeight="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A1:C18"/>
  <sheetViews>
    <sheetView workbookViewId="0">
      <selection activeCell="D20" sqref="D20"/>
    </sheetView>
  </sheetViews>
  <sheetFormatPr baseColWidth="10" defaultRowHeight="12.75"/>
  <sheetData>
    <row r="1" spans="1:3" ht="18">
      <c r="A1" s="162" t="s">
        <v>110</v>
      </c>
      <c r="B1" s="162"/>
    </row>
    <row r="3" spans="1:3" ht="15.75">
      <c r="A3" s="159" t="s">
        <v>111</v>
      </c>
    </row>
    <row r="4" spans="1:3" ht="15">
      <c r="A4" s="160" t="s">
        <v>112</v>
      </c>
      <c r="B4" s="161"/>
      <c r="C4" s="161"/>
    </row>
    <row r="5" spans="1:3" ht="15">
      <c r="A5" s="161" t="s">
        <v>113</v>
      </c>
    </row>
    <row r="6" spans="1:3" ht="15">
      <c r="A6" s="161" t="s">
        <v>114</v>
      </c>
    </row>
    <row r="7" spans="1:3" ht="15">
      <c r="A7" s="160" t="s">
        <v>115</v>
      </c>
      <c r="B7" s="161"/>
      <c r="C7" s="161"/>
    </row>
    <row r="8" spans="1:3" ht="15">
      <c r="A8" s="161" t="s">
        <v>116</v>
      </c>
      <c r="C8" s="161"/>
    </row>
    <row r="9" spans="1:3" ht="15">
      <c r="A9" s="160" t="s">
        <v>117</v>
      </c>
      <c r="B9" s="161"/>
      <c r="C9" s="161"/>
    </row>
    <row r="10" spans="1:3" ht="15">
      <c r="A10" s="160" t="s">
        <v>118</v>
      </c>
      <c r="B10" s="161"/>
      <c r="C10" s="161"/>
    </row>
    <row r="11" spans="1:3" ht="15">
      <c r="A11" s="160" t="s">
        <v>119</v>
      </c>
      <c r="B11" s="161"/>
      <c r="C11" s="161"/>
    </row>
    <row r="13" spans="1:3" ht="15.75">
      <c r="A13" s="159" t="s">
        <v>120</v>
      </c>
      <c r="C13" s="161"/>
    </row>
    <row r="14" spans="1:3" ht="15">
      <c r="A14" s="160" t="s">
        <v>121</v>
      </c>
      <c r="B14" s="161"/>
    </row>
    <row r="15" spans="1:3" ht="15">
      <c r="A15" s="161" t="s">
        <v>116</v>
      </c>
    </row>
    <row r="16" spans="1:3" ht="15">
      <c r="A16" s="161" t="s">
        <v>122</v>
      </c>
      <c r="C16" s="161"/>
    </row>
    <row r="17" spans="1:3" ht="15">
      <c r="A17" s="160" t="s">
        <v>123</v>
      </c>
      <c r="B17" s="161"/>
      <c r="C17" s="161"/>
    </row>
    <row r="18" spans="1:3" ht="15">
      <c r="A18" s="160" t="s">
        <v>124</v>
      </c>
      <c r="B18" s="161"/>
      <c r="C18" s="16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Blad1</vt:lpstr>
      <vt:lpstr>Résultats</vt:lpstr>
      <vt:lpstr>Références</vt:lpstr>
    </vt:vector>
  </TitlesOfParts>
  <Company>Universiteit Utrecht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Medewerker Diergeneeskunde</dc:creator>
  <cp:lastModifiedBy>poirierh</cp:lastModifiedBy>
  <cp:lastPrinted>2010-09-22T18:46:19Z</cp:lastPrinted>
  <dcterms:created xsi:type="dcterms:W3CDTF">2007-04-13T07:54:36Z</dcterms:created>
  <dcterms:modified xsi:type="dcterms:W3CDTF">2011-07-15T21:45:38Z</dcterms:modified>
</cp:coreProperties>
</file>